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891"/>
  </bookViews>
  <sheets>
    <sheet name="１　対象経営の概要，２　前提条件" sheetId="19" r:id="rId1"/>
    <sheet name="３　キャベツ標準技術" sheetId="24" r:id="rId2"/>
    <sheet name="４　経営収支" sheetId="22" r:id="rId3"/>
    <sheet name="５　キャベツ作業時間" sheetId="27" r:id="rId4"/>
    <sheet name="６　固定資本装備と減価償却費" sheetId="23" r:id="rId5"/>
    <sheet name="７　キャベツ収支" sheetId="39" r:id="rId6"/>
    <sheet name="８　キャベツ算出基礎" sheetId="40" r:id="rId7"/>
    <sheet name="９　キャベツ単価算出基礎" sheetId="42" r:id="rId8"/>
  </sheets>
  <definedNames>
    <definedName name="_a1" localSheetId="7" hidden="1">#REF!</definedName>
    <definedName name="_a1" hidden="1">#REF!</definedName>
    <definedName name="_a2" localSheetId="7" hidden="1">#REF!</definedName>
    <definedName name="_a2" hidden="1">#REF!</definedName>
    <definedName name="_a3" localSheetId="7" hidden="1">#REF!</definedName>
    <definedName name="_a3" hidden="1">#REF!</definedName>
    <definedName name="_a4" localSheetId="7" hidden="1">#REF!</definedName>
    <definedName name="_a4" hidden="1">#REF!</definedName>
    <definedName name="_a5" localSheetId="7" hidden="1">#REF!</definedName>
    <definedName name="_a5" hidden="1">#REF!</definedName>
    <definedName name="_a6" localSheetId="7" hidden="1">#REF!</definedName>
    <definedName name="_a6" hidden="1">#REF!</definedName>
    <definedName name="_a7" localSheetId="7" hidden="1">#REF!</definedName>
    <definedName name="_a7" hidden="1">#REF!</definedName>
    <definedName name="aaa" localSheetId="7" hidden="1">#REF!</definedName>
    <definedName name="aaa" hidden="1">#REF!</definedName>
    <definedName name="bbb" localSheetId="7" hidden="1">#REF!</definedName>
    <definedName name="bbb" hidden="1">#REF!</definedName>
    <definedName name="ccc" localSheetId="7" hidden="1">#REF!</definedName>
    <definedName name="ccc" hidden="1">#REF!</definedName>
    <definedName name="ddd" localSheetId="7" hidden="1">#REF!</definedName>
    <definedName name="ddd" hidden="1">#REF!</definedName>
    <definedName name="eee" localSheetId="7" hidden="1">#REF!</definedName>
    <definedName name="eee" hidden="1">#REF!</definedName>
    <definedName name="fff" localSheetId="7" hidden="1">#REF!</definedName>
    <definedName name="fff" hidden="1">#REF!</definedName>
    <definedName name="ggg" localSheetId="7" hidden="1">#REF!</definedName>
    <definedName name="ggg" hidden="1">#REF!</definedName>
    <definedName name="hhh" localSheetId="7" hidden="1">#REF!</definedName>
    <definedName name="hhh" hidden="1">#REF!</definedName>
    <definedName name="_xlnm.Print_Area" localSheetId="3">'５　キャベツ作業時間'!$A$1:$AM$34</definedName>
    <definedName name="_xlnm.Print_Area" localSheetId="4">'６　固定資本装備と減価償却費'!$1:$46</definedName>
    <definedName name="_xlnm.Print_Area" localSheetId="5">'７　キャベツ収支'!$A$1:$S$45</definedName>
    <definedName name="simizu" localSheetId="7" hidden="1">#REF!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F21" i="39" l="1"/>
  <c r="N5" i="39" l="1"/>
  <c r="N6" i="39"/>
  <c r="N7" i="39"/>
  <c r="N8" i="39"/>
  <c r="N9" i="39"/>
  <c r="I20" i="42"/>
  <c r="F20" i="39"/>
  <c r="F24" i="39"/>
  <c r="V8" i="40" l="1"/>
  <c r="V7" i="40"/>
  <c r="G54" i="40"/>
  <c r="V27" i="40" l="1"/>
  <c r="N7" i="40" l="1"/>
  <c r="N8" i="40"/>
  <c r="N9" i="40"/>
  <c r="N10" i="40"/>
  <c r="N11" i="40"/>
  <c r="P11" i="39"/>
  <c r="F28" i="39" l="1"/>
  <c r="F27" i="39"/>
  <c r="I29" i="23"/>
  <c r="L29" i="23" s="1"/>
  <c r="N29" i="23" s="1"/>
  <c r="I30" i="23"/>
  <c r="L30" i="23"/>
  <c r="N30" i="23" s="1"/>
  <c r="I31" i="23"/>
  <c r="L31" i="23" s="1"/>
  <c r="N31" i="23" s="1"/>
  <c r="I32" i="23"/>
  <c r="L32" i="23"/>
  <c r="N32" i="23" s="1"/>
  <c r="G40" i="23"/>
  <c r="I13" i="23" l="1"/>
  <c r="I14" i="23"/>
  <c r="L14" i="23" s="1"/>
  <c r="N14" i="23" s="1"/>
  <c r="P14" i="23" s="1"/>
  <c r="I15" i="23"/>
  <c r="L15" i="23" s="1"/>
  <c r="N15" i="23" s="1"/>
  <c r="P15" i="23" s="1"/>
  <c r="I16" i="23"/>
  <c r="L16" i="23" s="1"/>
  <c r="N16" i="23" s="1"/>
  <c r="P16" i="23" s="1"/>
  <c r="I17" i="23"/>
  <c r="L17" i="23" s="1"/>
  <c r="N17" i="23" s="1"/>
  <c r="P17" i="23" s="1"/>
  <c r="I18" i="23"/>
  <c r="L18" i="23" s="1"/>
  <c r="N18" i="23" s="1"/>
  <c r="P18" i="23" s="1"/>
  <c r="I19" i="23"/>
  <c r="L19" i="23" s="1"/>
  <c r="N19" i="23" s="1"/>
  <c r="P19" i="23" s="1"/>
  <c r="I20" i="23"/>
  <c r="L20" i="23" s="1"/>
  <c r="N20" i="23" s="1"/>
  <c r="P20" i="23" s="1"/>
  <c r="I21" i="23"/>
  <c r="L21" i="23" s="1"/>
  <c r="N21" i="23" s="1"/>
  <c r="P21" i="23" s="1"/>
  <c r="I22" i="23"/>
  <c r="L22" i="23" s="1"/>
  <c r="N22" i="23" s="1"/>
  <c r="P22" i="23" s="1"/>
  <c r="I23" i="23"/>
  <c r="L23" i="23" s="1"/>
  <c r="N23" i="23" s="1"/>
  <c r="P23" i="23" s="1"/>
  <c r="O20" i="42" l="1"/>
  <c r="N20" i="42"/>
  <c r="M20" i="42"/>
  <c r="L20" i="42"/>
  <c r="K20" i="42"/>
  <c r="J20" i="42"/>
  <c r="H20" i="42"/>
  <c r="G20" i="42"/>
  <c r="F20" i="42"/>
  <c r="E20" i="42"/>
  <c r="D20" i="42"/>
  <c r="C20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G44" i="40" l="1"/>
  <c r="G45" i="40"/>
  <c r="G46" i="40"/>
  <c r="G47" i="40"/>
  <c r="G48" i="40"/>
  <c r="G49" i="40"/>
  <c r="G50" i="40"/>
  <c r="G34" i="40"/>
  <c r="G35" i="40"/>
  <c r="G36" i="40"/>
  <c r="G37" i="40"/>
  <c r="G38" i="40"/>
  <c r="G39" i="40"/>
  <c r="L30" i="40"/>
  <c r="K30" i="40"/>
  <c r="N29" i="40"/>
  <c r="N28" i="40"/>
  <c r="N27" i="40"/>
  <c r="N30" i="40" l="1"/>
  <c r="P35" i="39" s="1"/>
  <c r="G45" i="22"/>
  <c r="F45" i="22" s="1"/>
  <c r="G46" i="22"/>
  <c r="F46" i="22" s="1"/>
  <c r="G47" i="22"/>
  <c r="F47" i="22" s="1"/>
  <c r="G48" i="22"/>
  <c r="F48" i="22" s="1"/>
  <c r="G44" i="22"/>
  <c r="F44" i="22" s="1"/>
  <c r="G39" i="22"/>
  <c r="F39" i="22" s="1"/>
  <c r="G31" i="22"/>
  <c r="F31" i="22" s="1"/>
  <c r="G30" i="22"/>
  <c r="F30" i="22" s="1"/>
  <c r="G14" i="22"/>
  <c r="F14" i="22" s="1"/>
  <c r="G20" i="22"/>
  <c r="F20" i="22" s="1"/>
  <c r="G21" i="22"/>
  <c r="F21" i="22" s="1"/>
  <c r="G22" i="22"/>
  <c r="F22" i="22" s="1"/>
  <c r="G23" i="22"/>
  <c r="F23" i="22" s="1"/>
  <c r="G24" i="22"/>
  <c r="F24" i="22" s="1"/>
  <c r="G25" i="22"/>
  <c r="F25" i="22" s="1"/>
  <c r="G26" i="22"/>
  <c r="F26" i="22" s="1"/>
  <c r="G6" i="22"/>
  <c r="F6" i="22" s="1"/>
  <c r="G59" i="40"/>
  <c r="G58" i="40"/>
  <c r="G57" i="40"/>
  <c r="G55" i="40"/>
  <c r="V54" i="40"/>
  <c r="N54" i="40"/>
  <c r="G53" i="40"/>
  <c r="G51" i="40"/>
  <c r="V48" i="40"/>
  <c r="N46" i="40"/>
  <c r="G43" i="40"/>
  <c r="G42" i="40"/>
  <c r="G40" i="40"/>
  <c r="N39" i="40"/>
  <c r="N38" i="40"/>
  <c r="G33" i="40"/>
  <c r="G32" i="40"/>
  <c r="G31" i="40"/>
  <c r="L34" i="40"/>
  <c r="K34" i="40"/>
  <c r="N33" i="40"/>
  <c r="N32" i="40"/>
  <c r="N31" i="40"/>
  <c r="V28" i="40"/>
  <c r="L26" i="40"/>
  <c r="K26" i="40"/>
  <c r="G26" i="40"/>
  <c r="N25" i="40"/>
  <c r="G25" i="40"/>
  <c r="N24" i="40"/>
  <c r="G24" i="40"/>
  <c r="N23" i="40"/>
  <c r="L22" i="40"/>
  <c r="K22" i="40"/>
  <c r="G22" i="40"/>
  <c r="N21" i="40"/>
  <c r="G21" i="40"/>
  <c r="N20" i="40"/>
  <c r="G20" i="40"/>
  <c r="N19" i="40"/>
  <c r="L18" i="40"/>
  <c r="K18" i="40"/>
  <c r="G18" i="40"/>
  <c r="N17" i="40"/>
  <c r="G17" i="40"/>
  <c r="N16" i="40"/>
  <c r="G16" i="40"/>
  <c r="N15" i="40"/>
  <c r="G15" i="40"/>
  <c r="N14" i="40"/>
  <c r="L13" i="40"/>
  <c r="K13" i="40"/>
  <c r="G13" i="40"/>
  <c r="N12" i="40"/>
  <c r="G12" i="40"/>
  <c r="G11" i="40"/>
  <c r="V6" i="40"/>
  <c r="N6" i="40"/>
  <c r="G6" i="40"/>
  <c r="V5" i="40"/>
  <c r="G5" i="40"/>
  <c r="P14" i="39"/>
  <c r="P13" i="39"/>
  <c r="F6" i="39" s="1"/>
  <c r="G8" i="22" s="1"/>
  <c r="F8" i="22" s="1"/>
  <c r="N11" i="39"/>
  <c r="N10" i="39"/>
  <c r="R9" i="39"/>
  <c r="R8" i="39"/>
  <c r="R7" i="39"/>
  <c r="R6" i="39"/>
  <c r="R5" i="39"/>
  <c r="P33" i="23"/>
  <c r="P34" i="23"/>
  <c r="P38" i="23"/>
  <c r="P39" i="23"/>
  <c r="P7" i="23"/>
  <c r="P8" i="23"/>
  <c r="P10" i="23"/>
  <c r="P11" i="23"/>
  <c r="G45" i="23"/>
  <c r="I44" i="23"/>
  <c r="L44" i="23" s="1"/>
  <c r="I43" i="23"/>
  <c r="L43" i="23" s="1"/>
  <c r="I42" i="23"/>
  <c r="L42" i="23" s="1"/>
  <c r="I41" i="23"/>
  <c r="G12" i="23"/>
  <c r="I39" i="23"/>
  <c r="L39" i="23" s="1"/>
  <c r="N39" i="23" s="1"/>
  <c r="I38" i="23"/>
  <c r="L38" i="23" s="1"/>
  <c r="N38" i="23" s="1"/>
  <c r="I37" i="23"/>
  <c r="L37" i="23" s="1"/>
  <c r="N37" i="23" s="1"/>
  <c r="I36" i="23"/>
  <c r="L36" i="23" s="1"/>
  <c r="I35" i="23"/>
  <c r="L35" i="23" s="1"/>
  <c r="N35" i="23" s="1"/>
  <c r="I34" i="23"/>
  <c r="L34" i="23" s="1"/>
  <c r="N34" i="23" s="1"/>
  <c r="I33" i="23"/>
  <c r="L33" i="23" s="1"/>
  <c r="N33" i="23" s="1"/>
  <c r="I28" i="23"/>
  <c r="I27" i="23"/>
  <c r="L27" i="23" s="1"/>
  <c r="N27" i="23" s="1"/>
  <c r="I26" i="23"/>
  <c r="L26" i="23" s="1"/>
  <c r="N26" i="23" s="1"/>
  <c r="I25" i="23"/>
  <c r="L25" i="23" s="1"/>
  <c r="N25" i="23" s="1"/>
  <c r="P25" i="23" s="1"/>
  <c r="I24" i="23"/>
  <c r="L24" i="23" s="1"/>
  <c r="N24" i="23" s="1"/>
  <c r="P24" i="23" s="1"/>
  <c r="L13" i="23"/>
  <c r="N13" i="23" s="1"/>
  <c r="I11" i="23"/>
  <c r="L11" i="23" s="1"/>
  <c r="I10" i="23"/>
  <c r="L10" i="23" s="1"/>
  <c r="I9" i="23"/>
  <c r="L9" i="23" s="1"/>
  <c r="I8" i="23"/>
  <c r="L8" i="23" s="1"/>
  <c r="I7" i="23"/>
  <c r="L7" i="23" s="1"/>
  <c r="I6" i="23"/>
  <c r="I5" i="23"/>
  <c r="AM30" i="27"/>
  <c r="AM31" i="27"/>
  <c r="AM32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16" i="27"/>
  <c r="AM15" i="27"/>
  <c r="AM14" i="27"/>
  <c r="AM13" i="27"/>
  <c r="AM12" i="27"/>
  <c r="AM11" i="27"/>
  <c r="AM10" i="27"/>
  <c r="AM9" i="27"/>
  <c r="AM33" i="27" l="1"/>
  <c r="R11" i="39"/>
  <c r="L6" i="23"/>
  <c r="P27" i="23"/>
  <c r="P26" i="23"/>
  <c r="P13" i="23"/>
  <c r="L5" i="23"/>
  <c r="L28" i="23"/>
  <c r="I12" i="23"/>
  <c r="G14" i="40"/>
  <c r="P18" i="39" s="1"/>
  <c r="G19" i="40"/>
  <c r="P19" i="39" s="1"/>
  <c r="V53" i="40"/>
  <c r="G10" i="40"/>
  <c r="P17" i="39" s="1"/>
  <c r="N13" i="40"/>
  <c r="P30" i="39" s="1"/>
  <c r="N18" i="40"/>
  <c r="P31" i="39" s="1"/>
  <c r="N59" i="40"/>
  <c r="V47" i="40"/>
  <c r="V23" i="40"/>
  <c r="F10" i="39" s="1"/>
  <c r="G12" i="22" s="1"/>
  <c r="F12" i="22" s="1"/>
  <c r="G41" i="40"/>
  <c r="P24" i="39" s="1"/>
  <c r="G52" i="40"/>
  <c r="P25" i="39" s="1"/>
  <c r="V59" i="40"/>
  <c r="N34" i="40"/>
  <c r="P36" i="39" s="1"/>
  <c r="N22" i="40"/>
  <c r="P33" i="39" s="1"/>
  <c r="N26" i="40"/>
  <c r="P34" i="39" s="1"/>
  <c r="G60" i="40"/>
  <c r="P27" i="39" s="1"/>
  <c r="G23" i="40"/>
  <c r="P20" i="39" s="1"/>
  <c r="G27" i="40"/>
  <c r="P21" i="39" s="1"/>
  <c r="V37" i="40"/>
  <c r="F11" i="39" s="1"/>
  <c r="G13" i="22" s="1"/>
  <c r="F13" i="22" s="1"/>
  <c r="G56" i="40"/>
  <c r="P26" i="39" s="1"/>
  <c r="N36" i="23"/>
  <c r="I45" i="23"/>
  <c r="L41" i="23"/>
  <c r="G34" i="27"/>
  <c r="P15" i="39"/>
  <c r="N45" i="40"/>
  <c r="N49" i="40"/>
  <c r="G46" i="23"/>
  <c r="N53" i="40"/>
  <c r="J34" i="27"/>
  <c r="F45" i="39"/>
  <c r="N44" i="23"/>
  <c r="P44" i="23" s="1"/>
  <c r="N43" i="23"/>
  <c r="P43" i="23" s="1"/>
  <c r="N42" i="23"/>
  <c r="P42" i="23" s="1"/>
  <c r="I40" i="23"/>
  <c r="S34" i="27"/>
  <c r="AE34" i="27"/>
  <c r="V34" i="27"/>
  <c r="AH34" i="27"/>
  <c r="AK34" i="27"/>
  <c r="AM34" i="27"/>
  <c r="D34" i="27"/>
  <c r="P34" i="27"/>
  <c r="AB34" i="27"/>
  <c r="M34" i="27"/>
  <c r="Y34" i="27"/>
  <c r="Q11" i="39" l="1"/>
  <c r="F29" i="39"/>
  <c r="G32" i="22" s="1"/>
  <c r="F32" i="22" s="1"/>
  <c r="V60" i="40"/>
  <c r="F35" i="39" s="1"/>
  <c r="G38" i="22" s="1"/>
  <c r="F38" i="22" s="1"/>
  <c r="L12" i="23"/>
  <c r="F13" i="39" s="1"/>
  <c r="G15" i="22" s="1"/>
  <c r="F15" i="22" s="1"/>
  <c r="N5" i="23"/>
  <c r="P5" i="23" s="1"/>
  <c r="N28" i="23"/>
  <c r="P28" i="23" s="1"/>
  <c r="P40" i="23" s="1"/>
  <c r="I46" i="23"/>
  <c r="P22" i="39"/>
  <c r="F7" i="39" s="1"/>
  <c r="G9" i="22" s="1"/>
  <c r="F9" i="22" s="1"/>
  <c r="P28" i="39"/>
  <c r="F8" i="39" s="1"/>
  <c r="G10" i="22" s="1"/>
  <c r="F10" i="22" s="1"/>
  <c r="P32" i="39"/>
  <c r="P37" i="39" s="1"/>
  <c r="F9" i="39" s="1"/>
  <c r="G11" i="22" s="1"/>
  <c r="F11" i="22" s="1"/>
  <c r="F4" i="39"/>
  <c r="G5" i="22" s="1"/>
  <c r="N41" i="23"/>
  <c r="L45" i="23"/>
  <c r="N60" i="40"/>
  <c r="F37" i="39" s="1"/>
  <c r="G40" i="22" s="1"/>
  <c r="F40" i="22" s="1"/>
  <c r="N11" i="23"/>
  <c r="N10" i="23"/>
  <c r="N9" i="23"/>
  <c r="P9" i="23" s="1"/>
  <c r="N8" i="23"/>
  <c r="N7" i="23"/>
  <c r="N6" i="23"/>
  <c r="P6" i="23" s="1"/>
  <c r="L40" i="23"/>
  <c r="F14" i="39" s="1"/>
  <c r="G16" i="22" s="1"/>
  <c r="F16" i="22" s="1"/>
  <c r="F16" i="39" l="1"/>
  <c r="G18" i="22" s="1"/>
  <c r="F18" i="22" s="1"/>
  <c r="G7" i="22"/>
  <c r="F5" i="22"/>
  <c r="F39" i="39"/>
  <c r="L46" i="23"/>
  <c r="P41" i="23"/>
  <c r="P45" i="23" s="1"/>
  <c r="F17" i="39" s="1"/>
  <c r="G19" i="22" s="1"/>
  <c r="F19" i="22" s="1"/>
  <c r="F7" i="22" l="1"/>
  <c r="G41" i="22" s="1"/>
  <c r="P12" i="23"/>
  <c r="G34" i="22" l="1"/>
  <c r="F15" i="39"/>
  <c r="P46" i="23"/>
  <c r="G17" i="22" l="1"/>
  <c r="F17" i="22" s="1"/>
  <c r="F25" i="39"/>
  <c r="F49" i="22"/>
  <c r="G49" i="22"/>
  <c r="F26" i="39" l="1"/>
  <c r="G27" i="22"/>
  <c r="F27" i="22" s="1"/>
  <c r="F28" i="22" s="1"/>
  <c r="G35" i="22"/>
  <c r="G37" i="22"/>
  <c r="G36" i="22"/>
  <c r="G28" i="22" l="1"/>
  <c r="G29" i="22" s="1"/>
  <c r="F29" i="22" s="1"/>
  <c r="G33" i="22"/>
  <c r="G42" i="22" s="1"/>
  <c r="F42" i="22"/>
  <c r="F43" i="22" l="1"/>
  <c r="F50" i="22" s="1"/>
  <c r="G43" i="22"/>
  <c r="G50" i="22" s="1"/>
</calcChain>
</file>

<file path=xl/sharedStrings.xml><?xml version="1.0" encoding="utf-8"?>
<sst xmlns="http://schemas.openxmlformats.org/spreadsheetml/2006/main" count="688" uniqueCount="459">
  <si>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</si>
  <si>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</si>
  <si>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</si>
  <si>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</si>
  <si>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</si>
  <si>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</si>
  <si>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</si>
  <si>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</si>
  <si>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</si>
  <si>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</si>
  <si>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</si>
  <si>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</si>
  <si>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</si>
  <si>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</si>
  <si>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</si>
  <si>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</si>
  <si>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</si>
  <si>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</si>
  <si>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</si>
  <si>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</si>
  <si>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</si>
  <si>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</si>
  <si>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</si>
  <si>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</si>
  <si>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</si>
  <si>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</si>
  <si>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</si>
  <si>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</si>
  <si>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</si>
  <si>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</si>
  <si>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</si>
  <si>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</si>
  <si>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</si>
  <si>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</si>
  <si>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</si>
  <si>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</si>
  <si>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</si>
  <si>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</si>
  <si>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</si>
  <si>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</si>
  <si>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</si>
  <si>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</si>
  <si>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</si>
  <si>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</si>
  <si>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</si>
  <si>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</si>
  <si>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</si>
  <si>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</si>
  <si>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</si>
  <si>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</si>
  <si>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</si>
  <si>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</si>
  <si>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</si>
  <si>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</si>
  <si>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パイプハウス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</si>
  <si>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</si>
  <si>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</si>
  <si>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</si>
  <si>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</si>
  <si>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</si>
  <si>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</si>
  <si>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</si>
  <si>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</si>
  <si>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</si>
  <si>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</si>
  <si>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</si>
  <si>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</si>
  <si>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</si>
  <si>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</si>
  <si>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</si>
  <si>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</si>
  <si>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</si>
  <si>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</si>
  <si>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</si>
  <si>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</si>
  <si>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</si>
  <si>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</si>
  <si>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</si>
  <si>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</si>
  <si>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</si>
  <si>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</si>
  <si>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</si>
  <si>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</si>
  <si>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</si>
  <si>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</si>
  <si>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</si>
  <si>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</si>
  <si>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</si>
  <si>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</si>
  <si>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</si>
  <si>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</si>
  <si>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</si>
  <si>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</si>
  <si>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</si>
  <si>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</si>
  <si>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</si>
  <si>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</si>
  <si>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</si>
  <si>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</si>
  <si>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○：播種　△：仮植　×：定植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</si>
  <si>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</si>
  <si>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</si>
  <si>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</si>
  <si>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</si>
  <si>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</si>
  <si>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</si>
  <si>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</si>
  <si>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</si>
  <si>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</si>
  <si>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</si>
  <si>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</si>
  <si>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</si>
  <si>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</si>
  <si>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</si>
  <si>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</si>
  <si>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</si>
  <si>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</si>
  <si>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</si>
  <si>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</si>
  <si>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</si>
  <si>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</si>
  <si>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</si>
  <si>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</si>
  <si>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</si>
  <si>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</si>
  <si>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</si>
  <si>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</si>
  <si>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</si>
  <si>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</si>
  <si>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</si>
  <si>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</si>
  <si>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</si>
  <si>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</si>
  <si>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</si>
  <si>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</si>
  <si>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</si>
  <si>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</si>
  <si>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</si>
  <si>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</si>
  <si>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</si>
  <si>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</si>
  <si>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</si>
  <si>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</si>
  <si>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</si>
  <si>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</si>
  <si>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</si>
  <si>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</si>
  <si>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</si>
  <si>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</si>
  <si>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</si>
  <si>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</si>
  <si>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</si>
  <si>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</si>
  <si>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</si>
  <si>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</si>
  <si>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</si>
  <si>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</si>
  <si>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</si>
  <si>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</si>
  <si>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</si>
  <si>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</si>
  <si>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</si>
  <si>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</si>
  <si>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</si>
  <si>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</si>
  <si>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</si>
  <si>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</si>
  <si>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</si>
  <si>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</si>
  <si>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</si>
  <si>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</si>
  <si>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</si>
  <si>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</si>
  <si>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</si>
  <si>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</si>
  <si>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</si>
  <si>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</si>
  <si>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</si>
  <si>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</si>
  <si>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</si>
  <si>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</si>
  <si>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</si>
  <si>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</si>
  <si>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</si>
  <si>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</si>
  <si>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</si>
  <si>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</si>
  <si>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</si>
  <si>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</si>
  <si>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</si>
  <si>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</si>
  <si>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</si>
  <si>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</si>
  <si>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</si>
  <si>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</si>
  <si>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</si>
  <si>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</si>
  <si>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</si>
  <si>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</si>
  <si>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</si>
  <si>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</si>
  <si>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</si>
  <si>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</si>
  <si>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</si>
  <si>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</si>
  <si>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</si>
  <si>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</si>
  <si>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</si>
  <si>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</si>
  <si>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</si>
  <si>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</si>
  <si>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</si>
  <si>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</si>
  <si>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</si>
  <si>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</si>
  <si>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</si>
  <si>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</si>
  <si>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</si>
  <si>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</si>
  <si>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</si>
  <si>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</si>
  <si>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</si>
  <si>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</si>
  <si>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</si>
  <si>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</si>
  <si>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</si>
  <si>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</si>
  <si>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</si>
  <si>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</si>
  <si>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</si>
  <si>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</si>
  <si>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</si>
  <si>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</si>
  <si>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</si>
  <si>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</si>
  <si>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</si>
  <si>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</si>
  <si>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</si>
  <si>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</si>
  <si>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</si>
  <si>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</si>
  <si>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</si>
  <si>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</si>
  <si>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</si>
  <si>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</si>
  <si>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</si>
  <si>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</si>
  <si>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</si>
  <si>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数量</t>
    <phoneticPr fontId="4"/>
  </si>
  <si>
    <t>販売量</t>
    <phoneticPr fontId="4"/>
  </si>
  <si>
    <t>販売量</t>
    <phoneticPr fontId="4"/>
  </si>
  <si>
    <t>月</t>
    <rPh sb="0" eb="1">
      <t>ツキ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</si>
  <si>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</si>
  <si>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</si>
  <si>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</si>
  <si>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</si>
  <si>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</si>
  <si>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</si>
  <si>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</si>
  <si>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月別平均価格の推移</t>
  </si>
  <si>
    <t>（全産地）</t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</si>
  <si>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</si>
  <si>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</si>
  <si>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</si>
  <si>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（広島県産）</t>
    <rPh sb="1" eb="5">
      <t>ヒロシマケンサン</t>
    </rPh>
    <phoneticPr fontId="4"/>
  </si>
  <si>
    <t>ℓ・kw／時</t>
    <rPh sb="5" eb="6">
      <t>ジ</t>
    </rPh>
    <phoneticPr fontId="4"/>
  </si>
  <si>
    <t>農業参入企業</t>
    <rPh sb="0" eb="2">
      <t>ノウギョウ</t>
    </rPh>
    <rPh sb="2" eb="4">
      <t>サンニュウ</t>
    </rPh>
    <rPh sb="4" eb="6">
      <t>キギョウ</t>
    </rPh>
    <phoneticPr fontId="3"/>
  </si>
  <si>
    <t>キャベツ</t>
    <phoneticPr fontId="3"/>
  </si>
  <si>
    <t>北部</t>
    <rPh sb="0" eb="1">
      <t>ホクブ</t>
    </rPh>
    <phoneticPr fontId="3"/>
  </si>
  <si>
    <t>キャベツ</t>
    <phoneticPr fontId="3"/>
  </si>
  <si>
    <t>○</t>
    <phoneticPr fontId="3"/>
  </si>
  <si>
    <t>×</t>
    <phoneticPr fontId="3"/>
  </si>
  <si>
    <t>個別選果，共同販売</t>
    <rPh sb="0" eb="2">
      <t>コベツ</t>
    </rPh>
    <phoneticPr fontId="3"/>
  </si>
  <si>
    <t>大型機械化体系
パイプハウス，トラクター，半自動移植機，真空播種機，乗用管理機，野菜運搬機等</t>
    <rPh sb="28" eb="30">
      <t>シンクウ</t>
    </rPh>
    <rPh sb="30" eb="32">
      <t>ハシュ</t>
    </rPh>
    <rPh sb="32" eb="33">
      <t>キ</t>
    </rPh>
    <rPh sb="45" eb="46">
      <t>トウ</t>
    </rPh>
    <phoneticPr fontId="5"/>
  </si>
  <si>
    <t>排水良好な土壌，標高約500ｍ以上</t>
    <rPh sb="0" eb="2">
      <t>ハイスイ</t>
    </rPh>
    <rPh sb="2" eb="4">
      <t>リョウコウ</t>
    </rPh>
    <rPh sb="5" eb="7">
      <t>ドジョウ</t>
    </rPh>
    <rPh sb="8" eb="10">
      <t>ヒョウコウ</t>
    </rPh>
    <rPh sb="10" eb="11">
      <t>ヤク</t>
    </rPh>
    <rPh sb="15" eb="17">
      <t>イジョウ</t>
    </rPh>
    <phoneticPr fontId="5"/>
  </si>
  <si>
    <t>露地栽培，セル苗育苗</t>
    <rPh sb="7" eb="8">
      <t>ナエ</t>
    </rPh>
    <phoneticPr fontId="3"/>
  </si>
  <si>
    <t>キャベツ</t>
    <phoneticPr fontId="4"/>
  </si>
  <si>
    <t>３－１　標準技術（キャベツ）</t>
    <rPh sb="4" eb="6">
      <t>ヒョウジュン</t>
    </rPh>
    <rPh sb="6" eb="8">
      <t>ギジュツ</t>
    </rPh>
    <phoneticPr fontId="4"/>
  </si>
  <si>
    <t>溝掘り機，マニュアスプレッダ，マニュアクレーン，サブソイラー，トラクター，ブロードキャスター，ロータリカルチ，施肥機</t>
    <rPh sb="0" eb="1">
      <t>ミゾ</t>
    </rPh>
    <rPh sb="1" eb="2">
      <t>ホ</t>
    </rPh>
    <rPh sb="3" eb="4">
      <t>キ</t>
    </rPh>
    <rPh sb="55" eb="57">
      <t>セヒ</t>
    </rPh>
    <rPh sb="57" eb="58">
      <t>キ</t>
    </rPh>
    <phoneticPr fontId="6"/>
  </si>
  <si>
    <t>半自動移植機，スプリンクラー</t>
    <rPh sb="0" eb="1">
      <t>ハン</t>
    </rPh>
    <rPh sb="1" eb="3">
      <t>ジドウ</t>
    </rPh>
    <rPh sb="3" eb="5">
      <t>イショク</t>
    </rPh>
    <rPh sb="5" eb="6">
      <t>キ</t>
    </rPh>
    <phoneticPr fontId="6"/>
  </si>
  <si>
    <t>播種</t>
    <rPh sb="0" eb="2">
      <t>ハシュ</t>
    </rPh>
    <phoneticPr fontId="2"/>
  </si>
  <si>
    <t>育苗管理</t>
    <rPh sb="0" eb="2">
      <t>イクビョウ</t>
    </rPh>
    <rPh sb="2" eb="4">
      <t>カンリ</t>
    </rPh>
    <phoneticPr fontId="2"/>
  </si>
  <si>
    <t>施肥，畝立</t>
    <rPh sb="0" eb="2">
      <t>セヒ</t>
    </rPh>
    <rPh sb="3" eb="4">
      <t>ウネ</t>
    </rPh>
    <rPh sb="4" eb="5">
      <t>タ</t>
    </rPh>
    <phoneticPr fontId="2"/>
  </si>
  <si>
    <t>除草剤散布</t>
    <rPh sb="0" eb="3">
      <t>ジョソウザイ</t>
    </rPh>
    <rPh sb="3" eb="5">
      <t>サンプ</t>
    </rPh>
    <phoneticPr fontId="2"/>
  </si>
  <si>
    <t>定植</t>
    <rPh sb="0" eb="2">
      <t>テイショク</t>
    </rPh>
    <phoneticPr fontId="2"/>
  </si>
  <si>
    <t>防除</t>
    <rPh sb="0" eb="2">
      <t>ボウジョ</t>
    </rPh>
    <phoneticPr fontId="2"/>
  </si>
  <si>
    <t>収穫</t>
    <rPh sb="0" eb="2">
      <t>シュウカク</t>
    </rPh>
    <phoneticPr fontId="2"/>
  </si>
  <si>
    <t>除草剤　２種類</t>
  </si>
  <si>
    <t>殺虫剤　1種類</t>
    <rPh sb="0" eb="3">
      <t>サッチュウザイ</t>
    </rPh>
    <rPh sb="5" eb="7">
      <t>シュルイ</t>
    </rPh>
    <phoneticPr fontId="6"/>
  </si>
  <si>
    <t>包丁
収穫用コンテナ</t>
    <rPh sb="0" eb="2">
      <t>ホウチョウ</t>
    </rPh>
    <rPh sb="3" eb="6">
      <t>シュウカクヨウ</t>
    </rPh>
    <phoneticPr fontId="6"/>
  </si>
  <si>
    <t>キャベツ</t>
    <phoneticPr fontId="4"/>
  </si>
  <si>
    <t>キャベツ</t>
    <phoneticPr fontId="4"/>
  </si>
  <si>
    <t>５　作業別・旬別作業時間（キャベツ，1ha当たり）</t>
    <phoneticPr fontId="4"/>
  </si>
  <si>
    <t>キャベツ</t>
    <phoneticPr fontId="4"/>
  </si>
  <si>
    <t>７　経営収支（キャベツ，1ha当たり）</t>
    <rPh sb="15" eb="16">
      <t>ア</t>
    </rPh>
    <phoneticPr fontId="4"/>
  </si>
  <si>
    <t>コート種子</t>
    <rPh sb="3" eb="5">
      <t>シュシ</t>
    </rPh>
    <phoneticPr fontId="4"/>
  </si>
  <si>
    <t>（粒）</t>
    <rPh sb="1" eb="2">
      <t>ツブ</t>
    </rPh>
    <phoneticPr fontId="4"/>
  </si>
  <si>
    <t>1種類</t>
    <phoneticPr fontId="4"/>
  </si>
  <si>
    <t>2種類</t>
    <phoneticPr fontId="4"/>
  </si>
  <si>
    <t>4種類</t>
    <phoneticPr fontId="4"/>
  </si>
  <si>
    <t>5種類</t>
    <phoneticPr fontId="4"/>
  </si>
  <si>
    <t>7作業</t>
    <rPh sb="1" eb="3">
      <t>サギョウ</t>
    </rPh>
    <phoneticPr fontId="4"/>
  </si>
  <si>
    <t>８　経費の算出基礎（キャベツ，1ha当たり）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</si>
  <si>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袋</t>
    <phoneticPr fontId="4"/>
  </si>
  <si>
    <t>袋</t>
    <rPh sb="0" eb="1">
      <t>フクロ</t>
    </rPh>
    <phoneticPr fontId="4"/>
  </si>
  <si>
    <t>は種機</t>
    <rPh sb="1" eb="2">
      <t>シュ</t>
    </rPh>
    <rPh sb="2" eb="3">
      <t>キ</t>
    </rPh>
    <phoneticPr fontId="5"/>
  </si>
  <si>
    <t>吸引式</t>
    <rPh sb="0" eb="2">
      <t>キュウイン</t>
    </rPh>
    <rPh sb="2" eb="3">
      <t>シキ</t>
    </rPh>
    <phoneticPr fontId="5"/>
  </si>
  <si>
    <t>基</t>
    <rPh sb="0" eb="1">
      <t>キ</t>
    </rPh>
    <phoneticPr fontId="5"/>
  </si>
  <si>
    <t>マニュアスプレッダ</t>
  </si>
  <si>
    <t>乗用</t>
    <rPh sb="0" eb="2">
      <t>ジョウヨウ</t>
    </rPh>
    <phoneticPr fontId="5"/>
  </si>
  <si>
    <t>機</t>
    <rPh sb="0" eb="1">
      <t>キ</t>
    </rPh>
    <phoneticPr fontId="5"/>
  </si>
  <si>
    <t>マニュアクレーン</t>
  </si>
  <si>
    <t>DMA252S用</t>
    <rPh sb="7" eb="8">
      <t>ヨウ</t>
    </rPh>
    <phoneticPr fontId="5"/>
  </si>
  <si>
    <t>トラクター①</t>
  </si>
  <si>
    <t>20PS（ロータリー）</t>
  </si>
  <si>
    <t>台</t>
    <rPh sb="0" eb="1">
      <t>ダイ</t>
    </rPh>
    <phoneticPr fontId="5"/>
  </si>
  <si>
    <t>トラクター②</t>
  </si>
  <si>
    <t>34PS(ロータリー)</t>
  </si>
  <si>
    <t>ブロードキャスター</t>
  </si>
  <si>
    <t>30～60PS</t>
  </si>
  <si>
    <t>施肥機</t>
    <rPh sb="0" eb="2">
      <t>セヒ</t>
    </rPh>
    <rPh sb="2" eb="3">
      <t>キ</t>
    </rPh>
    <phoneticPr fontId="5"/>
  </si>
  <si>
    <t>畦立て施肥同時</t>
    <rPh sb="0" eb="1">
      <t>ウネ</t>
    </rPh>
    <rPh sb="1" eb="2">
      <t>タ</t>
    </rPh>
    <rPh sb="3" eb="5">
      <t>セヒ</t>
    </rPh>
    <rPh sb="5" eb="7">
      <t>ドウジ</t>
    </rPh>
    <phoneticPr fontId="5"/>
  </si>
  <si>
    <t>サブソイラー</t>
  </si>
  <si>
    <t>30～50PS用</t>
    <rPh sb="7" eb="8">
      <t>ヨウ</t>
    </rPh>
    <phoneticPr fontId="5"/>
  </si>
  <si>
    <t>溝堀り機</t>
    <rPh sb="0" eb="1">
      <t>ミゾ</t>
    </rPh>
    <rPh sb="1" eb="2">
      <t>ホリ</t>
    </rPh>
    <rPh sb="3" eb="4">
      <t>キ</t>
    </rPh>
    <phoneticPr fontId="5"/>
  </si>
  <si>
    <t>20～60PS</t>
  </si>
  <si>
    <t>半自動移植機</t>
    <rPh sb="0" eb="1">
      <t>ハン</t>
    </rPh>
    <rPh sb="1" eb="3">
      <t>ジドウ</t>
    </rPh>
    <rPh sb="3" eb="5">
      <t>イショク</t>
    </rPh>
    <rPh sb="5" eb="6">
      <t>キ</t>
    </rPh>
    <phoneticPr fontId="5"/>
  </si>
  <si>
    <t>２条千鳥植え</t>
  </si>
  <si>
    <t>ロータリカルチ</t>
  </si>
  <si>
    <t>アタッチメント</t>
  </si>
  <si>
    <t>乗用管理機</t>
    <rPh sb="0" eb="2">
      <t>ジョウヨウ</t>
    </rPh>
    <rPh sb="2" eb="4">
      <t>カンリ</t>
    </rPh>
    <rPh sb="4" eb="5">
      <t>キ</t>
    </rPh>
    <phoneticPr fontId="5"/>
  </si>
  <si>
    <t>17PS</t>
  </si>
  <si>
    <t>野菜運搬車</t>
    <rPh sb="0" eb="1">
      <t>ヤ</t>
    </rPh>
    <rPh sb="1" eb="2">
      <t>サイ</t>
    </rPh>
    <rPh sb="2" eb="5">
      <t>ウンパンシャ</t>
    </rPh>
    <phoneticPr fontId="5"/>
  </si>
  <si>
    <t>４輪</t>
    <rPh sb="1" eb="2">
      <t>リン</t>
    </rPh>
    <phoneticPr fontId="5"/>
  </si>
  <si>
    <t>予冷庫</t>
  </si>
  <si>
    <t>坪</t>
  </si>
  <si>
    <t>式</t>
  </si>
  <si>
    <t>春まき</t>
    <rPh sb="0" eb="1">
      <t>ハル</t>
    </rPh>
    <phoneticPr fontId="4"/>
  </si>
  <si>
    <t>かん水設備</t>
    <rPh sb="2" eb="3">
      <t>スイ</t>
    </rPh>
    <rPh sb="3" eb="5">
      <t>セツビ</t>
    </rPh>
    <phoneticPr fontId="4"/>
  </si>
  <si>
    <t>スプリンクラー</t>
    <phoneticPr fontId="4"/>
  </si>
  <si>
    <t>倉庫兼作業舎</t>
    <rPh sb="0" eb="2">
      <t>ソウコ</t>
    </rPh>
    <rPh sb="2" eb="3">
      <t>ケン</t>
    </rPh>
    <rPh sb="3" eb="5">
      <t>サギョウ</t>
    </rPh>
    <rPh sb="5" eb="6">
      <t>シャ</t>
    </rPh>
    <phoneticPr fontId="4"/>
  </si>
  <si>
    <t>1ha/10ha</t>
  </si>
  <si>
    <t>1ha/10ha</t>
    <phoneticPr fontId="4"/>
  </si>
  <si>
    <t>平成21年</t>
  </si>
  <si>
    <t>平成22年</t>
  </si>
  <si>
    <t>平成23年</t>
  </si>
  <si>
    <t>平成24年</t>
  </si>
  <si>
    <t>平成25年</t>
  </si>
  <si>
    <t>９　単価の算出基礎（キャベツ，1kg当たり）</t>
    <rPh sb="2" eb="4">
      <t>タンカ</t>
    </rPh>
    <phoneticPr fontId="4"/>
  </si>
  <si>
    <t>キャベツ</t>
    <phoneticPr fontId="4"/>
  </si>
  <si>
    <t>※販売量×86円/10kg箱</t>
    <rPh sb="1" eb="3">
      <t>ハンバイ</t>
    </rPh>
    <rPh sb="3" eb="4">
      <t>リョウ</t>
    </rPh>
    <rPh sb="7" eb="8">
      <t>エン</t>
    </rPh>
    <rPh sb="13" eb="14">
      <t>ハコ</t>
    </rPh>
    <phoneticPr fontId="5"/>
  </si>
  <si>
    <t>※販売量×70円/10kg箱</t>
    <rPh sb="1" eb="3">
      <t>ハンバイ</t>
    </rPh>
    <rPh sb="3" eb="4">
      <t>リョウ</t>
    </rPh>
    <rPh sb="7" eb="8">
      <t>エン</t>
    </rPh>
    <rPh sb="13" eb="14">
      <t>ハコ</t>
    </rPh>
    <phoneticPr fontId="5"/>
  </si>
  <si>
    <t>※販売額×12.5％</t>
    <phoneticPr fontId="4"/>
  </si>
  <si>
    <t>オペ労賃（1,100円/時）</t>
    <phoneticPr fontId="6"/>
  </si>
  <si>
    <t>補助労務賃金（900円/時）</t>
    <phoneticPr fontId="6"/>
  </si>
  <si>
    <t>片づけ</t>
    <rPh sb="0" eb="1">
      <t>カタ</t>
    </rPh>
    <phoneticPr fontId="4"/>
  </si>
  <si>
    <t>収穫・出荷</t>
    <rPh sb="0" eb="2">
      <t>シュウカク</t>
    </rPh>
    <rPh sb="3" eb="5">
      <t>シュッカ</t>
    </rPh>
    <phoneticPr fontId="2"/>
  </si>
  <si>
    <t>包丁</t>
    <rPh sb="0" eb="2">
      <t>ホウチョウ</t>
    </rPh>
    <phoneticPr fontId="4"/>
  </si>
  <si>
    <t>本</t>
    <rPh sb="0" eb="1">
      <t>ホン</t>
    </rPh>
    <phoneticPr fontId="4"/>
  </si>
  <si>
    <t>プラグトレイ（128穴）</t>
    <rPh sb="10" eb="11">
      <t>アナ</t>
    </rPh>
    <phoneticPr fontId="4"/>
  </si>
  <si>
    <t>収穫台車</t>
    <rPh sb="0" eb="2">
      <t>シュウカク</t>
    </rPh>
    <rPh sb="2" eb="4">
      <t>ダイシャ</t>
    </rPh>
    <phoneticPr fontId="4"/>
  </si>
  <si>
    <t>台</t>
    <rPh sb="0" eb="1">
      <t>ダイ</t>
    </rPh>
    <phoneticPr fontId="4"/>
  </si>
  <si>
    <t>分解性マルチ</t>
    <rPh sb="0" eb="3">
      <t>ブンカイセイ</t>
    </rPh>
    <phoneticPr fontId="4"/>
  </si>
  <si>
    <t>収穫用コンテナ</t>
    <rPh sb="0" eb="3">
      <t>シュウカクヨウ</t>
    </rPh>
    <phoneticPr fontId="4"/>
  </si>
  <si>
    <t>個</t>
    <rPh sb="0" eb="1">
      <t>コ</t>
    </rPh>
    <phoneticPr fontId="4"/>
  </si>
  <si>
    <t>袋</t>
    <phoneticPr fontId="4"/>
  </si>
  <si>
    <t>袋</t>
    <rPh sb="0" eb="1">
      <t>フクロ</t>
    </rPh>
    <phoneticPr fontId="4"/>
  </si>
  <si>
    <t>土づくり(マニュアスプレッダ)</t>
    <rPh sb="0" eb="1">
      <t>ツチ</t>
    </rPh>
    <phoneticPr fontId="5"/>
  </si>
  <si>
    <t>土づくり(ブロードキャスター)</t>
    <rPh sb="0" eb="1">
      <t>ツチ</t>
    </rPh>
    <phoneticPr fontId="5"/>
  </si>
  <si>
    <t>ほ場準備(サブソイラ)</t>
    <rPh sb="1" eb="2">
      <t>ジョウ</t>
    </rPh>
    <rPh sb="2" eb="4">
      <t>ジュンビ</t>
    </rPh>
    <phoneticPr fontId="5"/>
  </si>
  <si>
    <t>ほ場準備(トラクター)</t>
    <rPh sb="1" eb="2">
      <t>ジョウ</t>
    </rPh>
    <rPh sb="2" eb="4">
      <t>ジュンビ</t>
    </rPh>
    <phoneticPr fontId="5"/>
  </si>
  <si>
    <t>定植(半自動移植機)</t>
    <rPh sb="0" eb="2">
      <t>テイショク</t>
    </rPh>
    <rPh sb="3" eb="4">
      <t>ハン</t>
    </rPh>
    <rPh sb="4" eb="6">
      <t>ジドウ</t>
    </rPh>
    <rPh sb="6" eb="8">
      <t>イショク</t>
    </rPh>
    <rPh sb="8" eb="9">
      <t>キ</t>
    </rPh>
    <phoneticPr fontId="5"/>
  </si>
  <si>
    <t>防除(乗用管理機)</t>
    <rPh sb="0" eb="2">
      <t>ボウジョ</t>
    </rPh>
    <rPh sb="3" eb="5">
      <t>ジョウヨウ</t>
    </rPh>
    <rPh sb="5" eb="7">
      <t>カンリ</t>
    </rPh>
    <rPh sb="7" eb="8">
      <t>キ</t>
    </rPh>
    <phoneticPr fontId="5"/>
  </si>
  <si>
    <t>溝掘り機</t>
    <rPh sb="0" eb="1">
      <t>ミゾ</t>
    </rPh>
    <rPh sb="1" eb="2">
      <t>ホ</t>
    </rPh>
    <rPh sb="3" eb="4">
      <t>キ</t>
    </rPh>
    <phoneticPr fontId="5"/>
  </si>
  <si>
    <t>育苗用養土・覆土</t>
    <rPh sb="0" eb="2">
      <t>イクビョウ</t>
    </rPh>
    <rPh sb="2" eb="3">
      <t>ヨウ</t>
    </rPh>
    <rPh sb="3" eb="4">
      <t>ヨウ</t>
    </rPh>
    <rPh sb="4" eb="5">
      <t>ツチ</t>
    </rPh>
    <rPh sb="6" eb="8">
      <t>フクド</t>
    </rPh>
    <phoneticPr fontId="4"/>
  </si>
  <si>
    <t>機械・器具</t>
    <phoneticPr fontId="4"/>
  </si>
  <si>
    <t>○</t>
    <phoneticPr fontId="3"/>
  </si>
  <si>
    <t>後片付け</t>
    <rPh sb="0" eb="3">
      <t>アトカタヅ</t>
    </rPh>
    <phoneticPr fontId="4"/>
  </si>
  <si>
    <t>有機質資材　１種類
土づくり資材　１種類
化成肥料　２種類
分解性マルチ</t>
    <rPh sb="0" eb="3">
      <t>ユウキシツ</t>
    </rPh>
    <rPh sb="3" eb="5">
      <t>シザイ</t>
    </rPh>
    <rPh sb="7" eb="9">
      <t>シュルイ</t>
    </rPh>
    <rPh sb="10" eb="11">
      <t>ツチ</t>
    </rPh>
    <rPh sb="14" eb="16">
      <t>シザイ</t>
    </rPh>
    <rPh sb="18" eb="20">
      <t>シュルイ</t>
    </rPh>
    <rPh sb="21" eb="23">
      <t>カセイ</t>
    </rPh>
    <rPh sb="23" eb="25">
      <t>ヒリョウ</t>
    </rPh>
    <rPh sb="27" eb="29">
      <t>シュルイ</t>
    </rPh>
    <rPh sb="30" eb="33">
      <t>ブンカイセイ</t>
    </rPh>
    <phoneticPr fontId="6"/>
  </si>
  <si>
    <t>ブームスプレーヤー</t>
    <phoneticPr fontId="4"/>
  </si>
  <si>
    <t>播種機</t>
    <rPh sb="0" eb="2">
      <t>ハシュ</t>
    </rPh>
    <rPh sb="2" eb="3">
      <t>キ</t>
    </rPh>
    <phoneticPr fontId="4"/>
  </si>
  <si>
    <t>軽トラック</t>
    <rPh sb="0" eb="1">
      <t>ケイ</t>
    </rPh>
    <phoneticPr fontId="4"/>
  </si>
  <si>
    <t>3,000円/10a</t>
    <rPh sb="5" eb="6">
      <t>エン</t>
    </rPh>
    <phoneticPr fontId="4"/>
  </si>
  <si>
    <t>２ｔトラック</t>
    <phoneticPr fontId="5"/>
  </si>
  <si>
    <t>中古</t>
    <rPh sb="0" eb="2">
      <t>チュウコ</t>
    </rPh>
    <phoneticPr fontId="4"/>
  </si>
  <si>
    <t>鉄骨，スレート</t>
    <rPh sb="0" eb="2">
      <t>テッコツ</t>
    </rPh>
    <phoneticPr fontId="4"/>
  </si>
  <si>
    <t>春まき，初夏まき</t>
    <rPh sb="0" eb="1">
      <t>ハル</t>
    </rPh>
    <rPh sb="4" eb="6">
      <t>ショカ</t>
    </rPh>
    <phoneticPr fontId="4"/>
  </si>
  <si>
    <t>春まき
初夏まき</t>
    <rPh sb="0" eb="1">
      <t>ハル</t>
    </rPh>
    <rPh sb="4" eb="6">
      <t>ショカ</t>
    </rPh>
    <phoneticPr fontId="3"/>
  </si>
  <si>
    <t>10ha</t>
    <phoneticPr fontId="4"/>
  </si>
  <si>
    <t>10ha（借地10ha）</t>
    <rPh sb="5" eb="7">
      <t>シャクチ</t>
    </rPh>
    <phoneticPr fontId="3"/>
  </si>
  <si>
    <t>初夏まき</t>
    <rPh sb="0" eb="2">
      <t>ショカ</t>
    </rPh>
    <phoneticPr fontId="3"/>
  </si>
  <si>
    <t>春まき：初恋，おきな
初夏まき：藍天，おきな，湖月</t>
    <rPh sb="0" eb="1">
      <t>ハル</t>
    </rPh>
    <rPh sb="4" eb="6">
      <t>ハツコイ</t>
    </rPh>
    <rPh sb="11" eb="13">
      <t>ショカ</t>
    </rPh>
    <rPh sb="16" eb="17">
      <t>ラン</t>
    </rPh>
    <rPh sb="17" eb="18">
      <t>テン</t>
    </rPh>
    <rPh sb="23" eb="24">
      <t>コ</t>
    </rPh>
    <rPh sb="24" eb="25">
      <t>ゲツ</t>
    </rPh>
    <phoneticPr fontId="3"/>
  </si>
  <si>
    <t xml:space="preserve">
×</t>
    <phoneticPr fontId="3"/>
  </si>
  <si>
    <t xml:space="preserve">
×</t>
    <phoneticPr fontId="3"/>
  </si>
  <si>
    <t>春まき，初夏まき</t>
    <rPh sb="0" eb="1">
      <t>ハル</t>
    </rPh>
    <rPh sb="4" eb="6">
      <t>ショカ</t>
    </rPh>
    <phoneticPr fontId="4"/>
  </si>
  <si>
    <t>春まき・初夏まき</t>
    <rPh sb="0" eb="1">
      <t>ハル</t>
    </rPh>
    <rPh sb="4" eb="6">
      <t>ショカ</t>
    </rPh>
    <phoneticPr fontId="4"/>
  </si>
  <si>
    <t xml:space="preserve">○
</t>
    <phoneticPr fontId="3"/>
  </si>
  <si>
    <t>倉庫兼作業舎，野菜運搬車，２ｔトラック，予冷庫</t>
    <rPh sb="0" eb="2">
      <t>ソウコ</t>
    </rPh>
    <rPh sb="2" eb="3">
      <t>ケン</t>
    </rPh>
    <rPh sb="3" eb="5">
      <t>サギョウ</t>
    </rPh>
    <rPh sb="5" eb="6">
      <t>シャ</t>
    </rPh>
    <rPh sb="7" eb="9">
      <t>ヤサイ</t>
    </rPh>
    <rPh sb="9" eb="12">
      <t>ウンパンシャ</t>
    </rPh>
    <rPh sb="20" eb="23">
      <t>ヨレイコ</t>
    </rPh>
    <phoneticPr fontId="6"/>
  </si>
  <si>
    <t>殺菌剤　５種類
殺虫剤　４種類
展着剤　１種類</t>
    <phoneticPr fontId="4"/>
  </si>
  <si>
    <t>種子
プラグトレイ（128穴）
育苗培土・覆土</t>
    <rPh sb="0" eb="2">
      <t>シュシ</t>
    </rPh>
    <rPh sb="13" eb="14">
      <t>アナ</t>
    </rPh>
    <rPh sb="16" eb="18">
      <t>イクビョウ</t>
    </rPh>
    <rPh sb="18" eb="19">
      <t>バイ</t>
    </rPh>
    <rPh sb="19" eb="20">
      <t>ド</t>
    </rPh>
    <rPh sb="21" eb="23">
      <t>フクド</t>
    </rPh>
    <phoneticPr fontId="4"/>
  </si>
  <si>
    <t>○</t>
    <phoneticPr fontId="4"/>
  </si>
  <si>
    <t>3ha</t>
    <phoneticPr fontId="4"/>
  </si>
  <si>
    <t>7ha</t>
    <phoneticPr fontId="3"/>
  </si>
  <si>
    <t>○</t>
    <phoneticPr fontId="3"/>
  </si>
  <si>
    <t>×</t>
    <phoneticPr fontId="4"/>
  </si>
  <si>
    <t xml:space="preserve">○
</t>
    <phoneticPr fontId="4"/>
  </si>
  <si>
    <t>春まき，釈迦まき</t>
    <rPh sb="0" eb="1">
      <t>ハル</t>
    </rPh>
    <rPh sb="4" eb="6">
      <t>シャカ</t>
    </rPh>
    <phoneticPr fontId="4"/>
  </si>
  <si>
    <t>初夏まき</t>
    <rPh sb="0" eb="2">
      <t>ショカ</t>
    </rPh>
    <phoneticPr fontId="4"/>
  </si>
  <si>
    <t>右表（粗収益の算出基礎）広島中央卸売市場全国平均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4">
      <t>ヒロシマ</t>
    </rPh>
    <rPh sb="14" eb="16">
      <t>チュウオウ</t>
    </rPh>
    <rPh sb="16" eb="18">
      <t>オロシウリ</t>
    </rPh>
    <rPh sb="18" eb="20">
      <t>シジョウ</t>
    </rPh>
    <rPh sb="20" eb="22">
      <t>ゼンコク</t>
    </rPh>
    <rPh sb="22" eb="24">
      <t>ヘイキン</t>
    </rPh>
    <phoneticPr fontId="4"/>
  </si>
  <si>
    <t>　自家労力(社員等)１人，臨時雇用５人</t>
    <rPh sb="6" eb="8">
      <t>シャイン</t>
    </rPh>
    <rPh sb="8" eb="9">
      <t>トウ</t>
    </rPh>
    <rPh sb="13" eb="15">
      <t>リンジ</t>
    </rPh>
    <rPh sb="15" eb="17">
      <t>コヨウ</t>
    </rPh>
    <rPh sb="18" eb="19">
      <t>ニン</t>
    </rPh>
    <phoneticPr fontId="5"/>
  </si>
  <si>
    <t>3月下旬～4月中旬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</si>
  <si>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5月中旬～8月中旬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</si>
  <si>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×</t>
    <phoneticPr fontId="3"/>
  </si>
  <si>
    <t>5月上旬～5月下旬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</si>
  <si>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6月中旬～8月中旬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</si>
  <si>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3月下旬～5月下旬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</si>
  <si>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○</t>
    <phoneticPr fontId="3"/>
  </si>
  <si>
    <t>5月中旬～7月中旬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</si>
  <si>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5月中旬～6月下旬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</si>
  <si>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6月中旬～8月下旬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</si>
  <si>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6月上旬～7月下旬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</si>
  <si>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7月中旬～11月上旬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</si>
  <si>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7月上旬～8月上旬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</si>
  <si>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8月中旬～11月下旬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</si>
  <si>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12月上旬</t>
    <rPh sb="2" eb="3">
      <t>ガツ</t>
    </rPh>
    <rPh sb="3" eb="5">
      <t>ジョウジュン</t>
    </rPh>
    <phoneticPr fontId="4"/>
  </si>
  <si>
    <t>8月上旬～8月中旬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4"/>
  </si>
  <si>
    <t>牧草，緑肥等とのブロックローテ－ション栽培により地力増進を図る。</t>
    <rPh sb="24" eb="26">
      <t>チリョク</t>
    </rPh>
    <rPh sb="26" eb="28">
      <t>ゾウシン</t>
    </rPh>
    <rPh sb="29" eb="30">
      <t>ハカ</t>
    </rPh>
    <phoneticPr fontId="5"/>
  </si>
  <si>
    <t>×</t>
    <phoneticPr fontId="3"/>
  </si>
  <si>
    <t>労務費の1.2％</t>
    <rPh sb="0" eb="3">
      <t>ロウムヒ</t>
    </rPh>
    <phoneticPr fontId="4"/>
  </si>
  <si>
    <t xml:space="preserve">
プラグトレイに育苗培土を入れ，種子を１セルに１粒ずつ播種し，覆土する。</t>
    <rPh sb="8" eb="10">
      <t>イクビョウ</t>
    </rPh>
    <rPh sb="10" eb="11">
      <t>バイ</t>
    </rPh>
    <rPh sb="11" eb="12">
      <t>ド</t>
    </rPh>
    <rPh sb="13" eb="14">
      <t>イ</t>
    </rPh>
    <rPh sb="16" eb="18">
      <t>シュシ</t>
    </rPh>
    <rPh sb="24" eb="25">
      <t>ツブ</t>
    </rPh>
    <rPh sb="27" eb="29">
      <t>ハシュ</t>
    </rPh>
    <rPh sb="31" eb="33">
      <t>フクド</t>
    </rPh>
    <phoneticPr fontId="4"/>
  </si>
  <si>
    <t xml:space="preserve">
かん水は午前中に行い，夕方には培土表面が乾く程度に管理する。
葉色を見ながら，液肥を施用する。</t>
    <rPh sb="3" eb="4">
      <t>スイ</t>
    </rPh>
    <rPh sb="5" eb="8">
      <t>ゴゼンチュウ</t>
    </rPh>
    <rPh sb="9" eb="10">
      <t>オコナ</t>
    </rPh>
    <rPh sb="12" eb="14">
      <t>ユウガタ</t>
    </rPh>
    <rPh sb="16" eb="17">
      <t>バイ</t>
    </rPh>
    <rPh sb="17" eb="18">
      <t>ド</t>
    </rPh>
    <rPh sb="18" eb="20">
      <t>ヒョウメン</t>
    </rPh>
    <rPh sb="21" eb="22">
      <t>カワ</t>
    </rPh>
    <rPh sb="23" eb="25">
      <t>テイド</t>
    </rPh>
    <rPh sb="26" eb="28">
      <t>カンリ</t>
    </rPh>
    <rPh sb="32" eb="34">
      <t>ハイロ</t>
    </rPh>
    <rPh sb="35" eb="36">
      <t>ミ</t>
    </rPh>
    <rPh sb="40" eb="42">
      <t>エキヒ</t>
    </rPh>
    <rPh sb="43" eb="45">
      <t>セヨウ</t>
    </rPh>
    <phoneticPr fontId="4"/>
  </si>
  <si>
    <t xml:space="preserve">
定植１カ月前までには完熟たい肥，石灰資材を施用し耕起する。
定植7～10日前に元肥を施用し，畝立て（条間：1条植え60㎝，2条植え130㎝）を行う。
追肥型の場合は，結球開始（定植後20～30日）までに施用する。</t>
    <rPh sb="1" eb="3">
      <t>テイショク</t>
    </rPh>
    <rPh sb="5" eb="6">
      <t>ゲツ</t>
    </rPh>
    <rPh sb="6" eb="7">
      <t>マエ</t>
    </rPh>
    <rPh sb="11" eb="13">
      <t>カンジュク</t>
    </rPh>
    <rPh sb="15" eb="16">
      <t>ヒ</t>
    </rPh>
    <rPh sb="17" eb="19">
      <t>セッカイ</t>
    </rPh>
    <rPh sb="19" eb="21">
      <t>シザイ</t>
    </rPh>
    <rPh sb="22" eb="24">
      <t>セヨウ</t>
    </rPh>
    <rPh sb="25" eb="27">
      <t>コウキ</t>
    </rPh>
    <rPh sb="51" eb="53">
      <t>ジョウカン</t>
    </rPh>
    <rPh sb="55" eb="56">
      <t>ジョウ</t>
    </rPh>
    <rPh sb="56" eb="57">
      <t>ウ</t>
    </rPh>
    <rPh sb="63" eb="64">
      <t>ジョウ</t>
    </rPh>
    <rPh sb="64" eb="65">
      <t>ウ</t>
    </rPh>
    <phoneticPr fontId="4"/>
  </si>
  <si>
    <t xml:space="preserve">
無マルチの場合，定植後に除草剤を土壌全面散布する。</t>
    <rPh sb="1" eb="2">
      <t>ム</t>
    </rPh>
    <rPh sb="6" eb="8">
      <t>バアイ</t>
    </rPh>
    <rPh sb="9" eb="11">
      <t>テイショク</t>
    </rPh>
    <rPh sb="11" eb="12">
      <t>ゴ</t>
    </rPh>
    <rPh sb="13" eb="15">
      <t>ジョソウ</t>
    </rPh>
    <rPh sb="15" eb="16">
      <t>ザイ</t>
    </rPh>
    <rPh sb="17" eb="19">
      <t>ドジョウ</t>
    </rPh>
    <rPh sb="19" eb="21">
      <t>ゼンメン</t>
    </rPh>
    <rPh sb="21" eb="23">
      <t>サンプ</t>
    </rPh>
    <phoneticPr fontId="4"/>
  </si>
  <si>
    <t xml:space="preserve">
定植適期苗は本葉2.5～3枚。
スムーズに活着させるため定植後にかん水する。</t>
    <rPh sb="3" eb="5">
      <t>テッキ</t>
    </rPh>
    <rPh sb="5" eb="6">
      <t>ナエ</t>
    </rPh>
    <rPh sb="7" eb="8">
      <t>ホン</t>
    </rPh>
    <rPh sb="8" eb="9">
      <t>ヨウ</t>
    </rPh>
    <rPh sb="14" eb="15">
      <t>マイ</t>
    </rPh>
    <rPh sb="22" eb="24">
      <t>カッチャク</t>
    </rPh>
    <rPh sb="29" eb="31">
      <t>テイショク</t>
    </rPh>
    <rPh sb="31" eb="32">
      <t>ゴ</t>
    </rPh>
    <rPh sb="35" eb="36">
      <t>スイ</t>
    </rPh>
    <phoneticPr fontId="4"/>
  </si>
  <si>
    <t xml:space="preserve">
ほ場を観察し，7～10日おきに防除する。
アオムシ，コナガ，ハスモンヨトウに注意する。
黒腐病，菌核病，べと病に注意する。</t>
    <rPh sb="2" eb="3">
      <t>ジョウ</t>
    </rPh>
    <rPh sb="4" eb="6">
      <t>カンサツ</t>
    </rPh>
    <rPh sb="12" eb="13">
      <t>ニチ</t>
    </rPh>
    <rPh sb="16" eb="18">
      <t>ボウジョ</t>
    </rPh>
    <rPh sb="39" eb="41">
      <t>チュウイ</t>
    </rPh>
    <rPh sb="45" eb="46">
      <t>クロ</t>
    </rPh>
    <rPh sb="46" eb="47">
      <t>クサ</t>
    </rPh>
    <rPh sb="47" eb="48">
      <t>ビョウ</t>
    </rPh>
    <rPh sb="49" eb="50">
      <t>キン</t>
    </rPh>
    <rPh sb="50" eb="51">
      <t>カク</t>
    </rPh>
    <rPh sb="51" eb="52">
      <t>ビョウ</t>
    </rPh>
    <rPh sb="55" eb="56">
      <t>ビョウ</t>
    </rPh>
    <rPh sb="57" eb="59">
      <t>チュウイ</t>
    </rPh>
    <phoneticPr fontId="4"/>
  </si>
  <si>
    <t xml:space="preserve">
よく玉の締まったものから収穫する。
出荷基準に従い，段ボールに詰める。</t>
    <rPh sb="3" eb="4">
      <t>タマ</t>
    </rPh>
    <rPh sb="5" eb="6">
      <t>シ</t>
    </rPh>
    <rPh sb="13" eb="15">
      <t>シュウカク</t>
    </rPh>
    <rPh sb="19" eb="21">
      <t>シュッカ</t>
    </rPh>
    <rPh sb="21" eb="23">
      <t>キジュン</t>
    </rPh>
    <rPh sb="24" eb="25">
      <t>シタガ</t>
    </rPh>
    <rPh sb="27" eb="28">
      <t>ダン</t>
    </rPh>
    <rPh sb="32" eb="33">
      <t>ツ</t>
    </rPh>
    <phoneticPr fontId="4"/>
  </si>
  <si>
    <t xml:space="preserve">
トラクターで残渣をすき込む。</t>
    <rPh sb="7" eb="9">
      <t>ザンサ</t>
    </rPh>
    <rPh sb="12" eb="13">
      <t>コ</t>
    </rPh>
    <phoneticPr fontId="4"/>
  </si>
  <si>
    <t xml:space="preserve">
収穫が気温の高い時期となる場合は，耐暑性に優れ，在ほ性の良い品種を選定する。</t>
    <rPh sb="1" eb="3">
      <t>シュウカク</t>
    </rPh>
    <rPh sb="4" eb="6">
      <t>キオン</t>
    </rPh>
    <rPh sb="7" eb="8">
      <t>タカ</t>
    </rPh>
    <rPh sb="9" eb="11">
      <t>ジキ</t>
    </rPh>
    <rPh sb="14" eb="16">
      <t>バアイ</t>
    </rPh>
    <rPh sb="18" eb="21">
      <t>タイショセイ</t>
    </rPh>
    <rPh sb="22" eb="23">
      <t>スグ</t>
    </rPh>
    <rPh sb="25" eb="26">
      <t>ザイ</t>
    </rPh>
    <rPh sb="27" eb="28">
      <t>セイ</t>
    </rPh>
    <rPh sb="29" eb="30">
      <t>ヨ</t>
    </rPh>
    <rPh sb="31" eb="33">
      <t>ヒンシュ</t>
    </rPh>
    <rPh sb="34" eb="36">
      <t>センテイ</t>
    </rPh>
    <phoneticPr fontId="4"/>
  </si>
  <si>
    <t xml:space="preserve">
発芽適温は15～20℃。
30℃以上にならないように注意する。
プラグトレイはブロック，ベンチの上に置く。
かん水は，午前中に行い，夕方には培土表面が乾く程度とする。</t>
    <rPh sb="17" eb="19">
      <t>イジョウ</t>
    </rPh>
    <rPh sb="27" eb="29">
      <t>チュウイ</t>
    </rPh>
    <rPh sb="49" eb="50">
      <t>ウエ</t>
    </rPh>
    <rPh sb="51" eb="52">
      <t>オ</t>
    </rPh>
    <rPh sb="57" eb="58">
      <t>スイ</t>
    </rPh>
    <rPh sb="60" eb="63">
      <t>ゴゼンチュウ</t>
    </rPh>
    <rPh sb="64" eb="65">
      <t>オコナ</t>
    </rPh>
    <rPh sb="67" eb="69">
      <t>ユウガタ</t>
    </rPh>
    <rPh sb="71" eb="73">
      <t>バイド</t>
    </rPh>
    <rPh sb="73" eb="75">
      <t>ヒョウメン</t>
    </rPh>
    <rPh sb="76" eb="77">
      <t>カワ</t>
    </rPh>
    <rPh sb="78" eb="80">
      <t>テイド</t>
    </rPh>
    <phoneticPr fontId="4"/>
  </si>
  <si>
    <t xml:space="preserve">
特にキャベツ生育初期の雑草繁茂を抑える。</t>
    <rPh sb="1" eb="2">
      <t>トク</t>
    </rPh>
    <rPh sb="7" eb="9">
      <t>セイイク</t>
    </rPh>
    <rPh sb="9" eb="11">
      <t>ショキ</t>
    </rPh>
    <phoneticPr fontId="4"/>
  </si>
  <si>
    <t xml:space="preserve">
ほ場をよく観察し，早期発見，早期防除に努める。</t>
    <phoneticPr fontId="4"/>
  </si>
  <si>
    <t xml:space="preserve">
試し切りを行い，締まり具合を確認する。</t>
    <rPh sb="1" eb="2">
      <t>タメ</t>
    </rPh>
    <rPh sb="3" eb="4">
      <t>ギ</t>
    </rPh>
    <rPh sb="6" eb="7">
      <t>オコナ</t>
    </rPh>
    <rPh sb="9" eb="10">
      <t>シ</t>
    </rPh>
    <rPh sb="12" eb="14">
      <t>グアイ</t>
    </rPh>
    <rPh sb="15" eb="17">
      <t>カクニン</t>
    </rPh>
    <phoneticPr fontId="4"/>
  </si>
  <si>
    <t>１名の500万円所得</t>
    <rPh sb="1" eb="2">
      <t>メイ</t>
    </rPh>
    <rPh sb="6" eb="7">
      <t>マン</t>
    </rPh>
    <rPh sb="7" eb="8">
      <t>エン</t>
    </rPh>
    <rPh sb="8" eb="10">
      <t>ショトク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</si>
  <si>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</si>
  <si>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</si>
  <si>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</si>
  <si>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</si>
  <si>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</si>
  <si>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</si>
  <si>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</si>
  <si>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5"/>
  </si>
  <si>
    <t>D</t>
    <phoneticPr fontId="4"/>
  </si>
  <si>
    <t>E</t>
    <phoneticPr fontId="4"/>
  </si>
  <si>
    <t>B</t>
    <phoneticPr fontId="4"/>
  </si>
  <si>
    <t>C</t>
    <phoneticPr fontId="4"/>
  </si>
  <si>
    <t>D</t>
    <phoneticPr fontId="4"/>
  </si>
  <si>
    <t>A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</si>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</sst>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0&quot;ha&quot;"/>
    <numFmt numFmtId="183" formatCode="0.0%"/>
    <numFmt numFmtId="184" formatCode="0.0_);[Red]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9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7" fontId="14" fillId="0" borderId="0"/>
    <xf numFmtId="0" fontId="12" fillId="0" borderId="0"/>
  </cellStyleXfs>
  <cellXfs count="726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80" xfId="0" applyFont="1" applyBorder="1" applyAlignment="1">
      <alignment horizontal="center" vertical="center"/>
    </xf>
    <xf numFmtId="180" fontId="0" fillId="0" borderId="80" xfId="1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182" fontId="0" fillId="0" borderId="81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7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41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9" fillId="0" borderId="41" xfId="0" applyFont="1" applyBorder="1" applyAlignment="1">
      <alignment vertical="center"/>
    </xf>
    <xf numFmtId="181" fontId="0" fillId="4" borderId="64" xfId="0" applyNumberFormat="1" applyFont="1" applyFill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3" borderId="44" xfId="1" applyNumberFormat="1" applyFont="1" applyFill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123" xfId="0" applyFont="1" applyBorder="1" applyAlignment="1">
      <alignment vertical="center"/>
    </xf>
    <xf numFmtId="0" fontId="0" fillId="0" borderId="127" xfId="0" applyFont="1" applyBorder="1" applyAlignment="1">
      <alignment vertical="center"/>
    </xf>
    <xf numFmtId="181" fontId="0" fillId="0" borderId="80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9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181" fontId="0" fillId="0" borderId="42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vertical="center" shrinkToFit="1"/>
    </xf>
    <xf numFmtId="181" fontId="0" fillId="4" borderId="49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5" xfId="0" applyNumberFormat="1" applyFont="1" applyBorder="1" applyAlignment="1">
      <alignment horizontal="center" vertical="center" shrinkToFit="1"/>
    </xf>
    <xf numFmtId="179" fontId="0" fillId="0" borderId="75" xfId="0" applyNumberFormat="1" applyFont="1" applyBorder="1" applyAlignment="1">
      <alignment horizontal="center" vertical="center" shrinkToFit="1"/>
    </xf>
    <xf numFmtId="176" fontId="0" fillId="0" borderId="92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3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88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vertical="center"/>
    </xf>
    <xf numFmtId="176" fontId="0" fillId="0" borderId="60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72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3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4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2" xfId="2" applyFont="1" applyBorder="1" applyAlignment="1">
      <alignment vertical="center" wrapText="1"/>
    </xf>
    <xf numFmtId="0" fontId="1" fillId="0" borderId="92" xfId="2" applyFont="1" applyBorder="1" applyAlignment="1">
      <alignment horizontal="center" vertical="center" wrapText="1"/>
    </xf>
    <xf numFmtId="0" fontId="1" fillId="0" borderId="92" xfId="2" applyFont="1" applyBorder="1" applyAlignment="1">
      <alignment vertical="center" wrapText="1"/>
    </xf>
    <xf numFmtId="0" fontId="8" fillId="0" borderId="92" xfId="2" applyFont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7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4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8" fontId="0" fillId="2" borderId="117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40" xfId="3" applyNumberFormat="1" applyFont="1" applyBorder="1" applyAlignment="1">
      <alignment vertical="center"/>
    </xf>
    <xf numFmtId="181" fontId="0" fillId="0" borderId="47" xfId="1" applyNumberFormat="1" applyFont="1" applyBorder="1" applyAlignment="1">
      <alignment vertical="center"/>
    </xf>
    <xf numFmtId="177" fontId="0" fillId="0" borderId="48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92" xfId="0" applyNumberFormat="1" applyFont="1" applyFill="1" applyBorder="1" applyAlignment="1">
      <alignment vertical="center"/>
    </xf>
    <xf numFmtId="177" fontId="0" fillId="0" borderId="92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1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4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8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30" xfId="0" applyNumberFormat="1" applyFont="1" applyFill="1" applyBorder="1" applyAlignment="1">
      <alignment vertical="center" shrinkToFit="1"/>
    </xf>
    <xf numFmtId="179" fontId="0" fillId="0" borderId="135" xfId="0" applyNumberFormat="1" applyFont="1" applyBorder="1" applyAlignment="1">
      <alignment horizontal="center" vertical="center" shrinkToFit="1"/>
    </xf>
    <xf numFmtId="176" fontId="0" fillId="5" borderId="121" xfId="0" applyNumberFormat="1" applyFont="1" applyFill="1" applyBorder="1" applyAlignment="1">
      <alignment vertical="center" shrinkToFit="1"/>
    </xf>
    <xf numFmtId="179" fontId="0" fillId="0" borderId="138" xfId="0" applyNumberFormat="1" applyFont="1" applyBorder="1" applyAlignment="1">
      <alignment horizontal="center" vertical="center" shrinkToFit="1"/>
    </xf>
    <xf numFmtId="184" fontId="0" fillId="0" borderId="1" xfId="0" applyNumberFormat="1" applyFont="1" applyBorder="1" applyAlignment="1">
      <alignment vertical="center" shrinkToFit="1"/>
    </xf>
    <xf numFmtId="184" fontId="0" fillId="5" borderId="117" xfId="0" applyNumberFormat="1" applyFont="1" applyFill="1" applyBorder="1" applyAlignment="1">
      <alignment vertical="center" shrinkToFit="1"/>
    </xf>
    <xf numFmtId="184" fontId="0" fillId="5" borderId="55" xfId="0" applyNumberFormat="1" applyFont="1" applyFill="1" applyBorder="1" applyAlignment="1">
      <alignment vertical="center" shrinkToFit="1"/>
    </xf>
    <xf numFmtId="184" fontId="0" fillId="5" borderId="22" xfId="0" applyNumberFormat="1" applyFont="1" applyFill="1" applyBorder="1" applyAlignment="1">
      <alignment vertical="center" shrinkToFit="1"/>
    </xf>
    <xf numFmtId="184" fontId="0" fillId="5" borderId="13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4" fontId="0" fillId="5" borderId="120" xfId="0" applyNumberFormat="1" applyFont="1" applyFill="1" applyBorder="1" applyAlignment="1">
      <alignment vertical="center" shrinkToFit="1"/>
    </xf>
    <xf numFmtId="184" fontId="0" fillId="5" borderId="140" xfId="0" applyNumberFormat="1" applyFont="1" applyFill="1" applyBorder="1" applyAlignment="1">
      <alignment vertical="center" shrinkToFit="1"/>
    </xf>
    <xf numFmtId="177" fontId="0" fillId="0" borderId="79" xfId="0" applyNumberFormat="1" applyFont="1" applyBorder="1" applyAlignment="1">
      <alignment vertical="center" shrinkToFit="1"/>
    </xf>
    <xf numFmtId="177" fontId="0" fillId="2" borderId="141" xfId="0" applyNumberFormat="1" applyFont="1" applyFill="1" applyBorder="1" applyAlignment="1">
      <alignment vertical="center" shrinkToFit="1"/>
    </xf>
    <xf numFmtId="177" fontId="0" fillId="2" borderId="120" xfId="0" applyNumberFormat="1" applyFont="1" applyFill="1" applyBorder="1" applyAlignment="1">
      <alignment vertical="center" shrinkToFit="1"/>
    </xf>
    <xf numFmtId="177" fontId="0" fillId="2" borderId="121" xfId="0" applyNumberFormat="1" applyFont="1" applyFill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0" borderId="92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5" borderId="49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181" fontId="0" fillId="0" borderId="149" xfId="1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vertical="center"/>
    </xf>
    <xf numFmtId="177" fontId="0" fillId="0" borderId="151" xfId="3" applyNumberFormat="1" applyFont="1" applyBorder="1" applyAlignment="1">
      <alignment vertical="center"/>
    </xf>
    <xf numFmtId="177" fontId="0" fillId="5" borderId="152" xfId="0" applyNumberFormat="1" applyFont="1" applyFill="1" applyBorder="1" applyAlignment="1">
      <alignment vertical="center" shrinkToFit="1"/>
    </xf>
    <xf numFmtId="177" fontId="0" fillId="0" borderId="152" xfId="3" applyNumberFormat="1" applyFont="1" applyBorder="1" applyAlignment="1">
      <alignment vertical="center"/>
    </xf>
    <xf numFmtId="177" fontId="0" fillId="0" borderId="113" xfId="3" applyNumberFormat="1" applyFont="1" applyBorder="1" applyAlignment="1">
      <alignment horizontal="right" vertical="center"/>
    </xf>
    <xf numFmtId="177" fontId="0" fillId="0" borderId="113" xfId="3" applyNumberFormat="1" applyFont="1" applyBorder="1" applyAlignment="1">
      <alignment horizontal="left" vertical="center" shrinkToFit="1"/>
    </xf>
    <xf numFmtId="177" fontId="0" fillId="0" borderId="153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54" xfId="0" applyNumberFormat="1" applyFont="1" applyBorder="1" applyAlignment="1">
      <alignment horizontal="left" vertical="center"/>
    </xf>
    <xf numFmtId="177" fontId="0" fillId="0" borderId="154" xfId="3" applyNumberFormat="1" applyFont="1" applyBorder="1" applyAlignment="1">
      <alignment vertical="center" shrinkToFit="1"/>
    </xf>
    <xf numFmtId="177" fontId="0" fillId="0" borderId="156" xfId="3" applyNumberFormat="1" applyFont="1" applyBorder="1" applyAlignment="1">
      <alignment vertical="center"/>
    </xf>
    <xf numFmtId="177" fontId="0" fillId="0" borderId="157" xfId="3" applyNumberFormat="1" applyFont="1" applyBorder="1" applyAlignment="1">
      <alignment vertical="center"/>
    </xf>
    <xf numFmtId="177" fontId="0" fillId="0" borderId="158" xfId="3" applyNumberFormat="1" applyFont="1" applyBorder="1" applyAlignment="1">
      <alignment vertical="center"/>
    </xf>
    <xf numFmtId="177" fontId="0" fillId="0" borderId="154" xfId="0" applyNumberFormat="1" applyFont="1" applyFill="1" applyBorder="1" applyAlignment="1">
      <alignment vertical="center"/>
    </xf>
    <xf numFmtId="177" fontId="0" fillId="0" borderId="150" xfId="0" applyNumberFormat="1" applyFont="1" applyFill="1" applyBorder="1" applyAlignment="1">
      <alignment horizontal="center"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54" xfId="0" applyNumberFormat="1" applyFill="1" applyBorder="1" applyAlignment="1">
      <alignment vertical="center"/>
    </xf>
    <xf numFmtId="178" fontId="0" fillId="0" borderId="150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3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2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4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5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92" xfId="0" applyNumberFormat="1" applyFont="1" applyFill="1" applyBorder="1" applyAlignment="1">
      <alignment vertical="center" shrinkToFit="1"/>
    </xf>
    <xf numFmtId="177" fontId="0" fillId="0" borderId="15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4" xfId="0" applyNumberFormat="1" applyFont="1" applyFill="1" applyBorder="1" applyAlignment="1">
      <alignment horizontal="left" vertical="center"/>
    </xf>
    <xf numFmtId="177" fontId="0" fillId="0" borderId="154" xfId="3" applyNumberFormat="1" applyFont="1" applyFill="1" applyBorder="1" applyAlignment="1">
      <alignment vertical="center" shrinkToFit="1"/>
    </xf>
    <xf numFmtId="178" fontId="0" fillId="0" borderId="155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60" xfId="3" applyNumberFormat="1" applyFont="1" applyBorder="1" applyAlignment="1">
      <alignment horizontal="center" vertical="center" shrinkToFit="1"/>
    </xf>
    <xf numFmtId="177" fontId="0" fillId="0" borderId="80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65" xfId="3" applyNumberFormat="1" applyFont="1" applyBorder="1" applyAlignment="1">
      <alignment vertical="center" shrinkToFit="1"/>
    </xf>
    <xf numFmtId="176" fontId="0" fillId="0" borderId="165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0" fontId="8" fillId="0" borderId="78" xfId="0" applyFont="1" applyBorder="1" applyAlignment="1">
      <alignment horizontal="center" vertical="center" shrinkToFit="1"/>
    </xf>
    <xf numFmtId="176" fontId="0" fillId="2" borderId="163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5" borderId="163" xfId="0" applyNumberFormat="1" applyFont="1" applyFill="1" applyBorder="1" applyAlignment="1">
      <alignment vertical="center"/>
    </xf>
    <xf numFmtId="176" fontId="0" fillId="0" borderId="165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8" xfId="0" applyNumberFormat="1" applyFont="1" applyBorder="1" applyAlignment="1">
      <alignment vertical="center" shrinkToFit="1"/>
    </xf>
    <xf numFmtId="177" fontId="0" fillId="0" borderId="118" xfId="0" applyNumberFormat="1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center" vertical="center" shrinkToFit="1"/>
    </xf>
    <xf numFmtId="177" fontId="0" fillId="0" borderId="119" xfId="0" applyNumberFormat="1" applyFont="1" applyBorder="1" applyAlignment="1">
      <alignment horizontal="center" vertical="center" shrinkToFit="1"/>
    </xf>
    <xf numFmtId="177" fontId="0" fillId="0" borderId="91" xfId="0" applyNumberFormat="1" applyFont="1" applyBorder="1" applyAlignment="1">
      <alignment vertical="center" shrinkToFit="1"/>
    </xf>
    <xf numFmtId="176" fontId="0" fillId="5" borderId="117" xfId="0" applyNumberFormat="1" applyFont="1" applyFill="1" applyBorder="1" applyAlignment="1">
      <alignment horizontal="center" vertical="center" shrinkToFit="1"/>
    </xf>
    <xf numFmtId="176" fontId="0" fillId="5" borderId="132" xfId="0" applyNumberFormat="1" applyFont="1" applyFill="1" applyBorder="1" applyAlignment="1">
      <alignment horizontal="center" vertical="center" shrinkToFit="1"/>
    </xf>
    <xf numFmtId="177" fontId="0" fillId="0" borderId="80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2" borderId="141" xfId="0" applyNumberFormat="1" applyFont="1" applyFill="1" applyBorder="1" applyAlignment="1">
      <alignment horizontal="center" vertical="center" shrinkToFit="1"/>
    </xf>
    <xf numFmtId="177" fontId="0" fillId="0" borderId="38" xfId="0" applyNumberFormat="1" applyFont="1" applyBorder="1" applyAlignment="1">
      <alignment horizontal="center" vertical="center" shrinkToFit="1"/>
    </xf>
    <xf numFmtId="177" fontId="0" fillId="0" borderId="62" xfId="0" applyNumberFormat="1" applyFont="1" applyBorder="1" applyAlignment="1">
      <alignment horizontal="center" vertical="center" shrinkToFit="1"/>
    </xf>
    <xf numFmtId="176" fontId="0" fillId="0" borderId="166" xfId="0" applyNumberFormat="1" applyFont="1" applyBorder="1" applyAlignment="1">
      <alignment vertical="center"/>
    </xf>
    <xf numFmtId="176" fontId="0" fillId="0" borderId="169" xfId="0" applyNumberFormat="1" applyFont="1" applyBorder="1" applyAlignment="1">
      <alignment vertical="center"/>
    </xf>
    <xf numFmtId="176" fontId="0" fillId="0" borderId="139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5" xfId="0" applyNumberFormat="1" applyBorder="1" applyAlignment="1">
      <alignment vertical="center" shrinkToFit="1"/>
    </xf>
    <xf numFmtId="9" fontId="0" fillId="0" borderId="165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7" fontId="0" fillId="2" borderId="174" xfId="0" applyNumberFormat="1" applyFont="1" applyFill="1" applyBorder="1" applyAlignment="1">
      <alignment vertical="center" shrinkToFit="1"/>
    </xf>
    <xf numFmtId="176" fontId="0" fillId="2" borderId="175" xfId="0" applyNumberFormat="1" applyFont="1" applyFill="1" applyBorder="1" applyAlignment="1">
      <alignment vertical="center" shrinkToFit="1"/>
    </xf>
    <xf numFmtId="177" fontId="0" fillId="2" borderId="171" xfId="3" applyNumberFormat="1" applyFont="1" applyFill="1" applyBorder="1" applyAlignment="1">
      <alignment horizontal="center" vertical="center" shrinkToFit="1"/>
    </xf>
    <xf numFmtId="177" fontId="0" fillId="2" borderId="171" xfId="3" applyNumberFormat="1" applyFont="1" applyFill="1" applyBorder="1" applyAlignment="1">
      <alignment vertical="center" shrinkToFit="1"/>
    </xf>
    <xf numFmtId="176" fontId="0" fillId="5" borderId="176" xfId="0" applyNumberFormat="1" applyFont="1" applyFill="1" applyBorder="1" applyAlignment="1">
      <alignment vertical="center"/>
    </xf>
    <xf numFmtId="181" fontId="0" fillId="0" borderId="138" xfId="0" applyNumberFormat="1" applyFont="1" applyBorder="1" applyAlignment="1">
      <alignment horizontal="right" vertical="center"/>
    </xf>
    <xf numFmtId="181" fontId="0" fillId="3" borderId="99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5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92" xfId="0" applyNumberFormat="1" applyFont="1" applyBorder="1" applyAlignment="1">
      <alignment horizontal="center" vertical="center" shrinkToFit="1"/>
    </xf>
    <xf numFmtId="177" fontId="0" fillId="0" borderId="172" xfId="0" applyNumberFormat="1" applyFont="1" applyBorder="1" applyAlignment="1">
      <alignment vertical="center" shrinkToFit="1"/>
    </xf>
    <xf numFmtId="176" fontId="0" fillId="0" borderId="150" xfId="0" applyNumberFormat="1" applyFont="1" applyBorder="1" applyAlignment="1">
      <alignment vertical="center" shrinkToFit="1"/>
    </xf>
    <xf numFmtId="176" fontId="4" fillId="0" borderId="182" xfId="0" applyNumberFormat="1" applyFont="1" applyBorder="1" applyAlignment="1">
      <alignment horizontal="left" vertical="center" wrapText="1"/>
    </xf>
    <xf numFmtId="176" fontId="0" fillId="0" borderId="183" xfId="0" applyNumberFormat="1" applyFont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92" xfId="0" applyNumberFormat="1" applyFont="1" applyBorder="1" applyAlignment="1">
      <alignment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185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4" xfId="0" applyNumberFormat="1" applyFont="1" applyFill="1" applyBorder="1" applyAlignment="1">
      <alignment vertical="center" shrinkToFit="1"/>
    </xf>
    <xf numFmtId="0" fontId="0" fillId="0" borderId="27" xfId="2" applyFont="1" applyBorder="1" applyAlignment="1">
      <alignment horizontal="center" vertical="center" wrapText="1"/>
    </xf>
    <xf numFmtId="0" fontId="1" fillId="6" borderId="28" xfId="2" applyFont="1" applyFill="1" applyBorder="1" applyAlignment="1">
      <alignment horizontal="center" vertical="center" wrapText="1"/>
    </xf>
    <xf numFmtId="0" fontId="1" fillId="6" borderId="26" xfId="2" applyFont="1" applyFill="1" applyBorder="1" applyAlignment="1">
      <alignment horizontal="center" vertical="center" wrapText="1"/>
    </xf>
    <xf numFmtId="0" fontId="1" fillId="6" borderId="27" xfId="2" applyFont="1" applyFill="1" applyBorder="1" applyAlignment="1">
      <alignment horizontal="center" vertical="center" wrapText="1"/>
    </xf>
    <xf numFmtId="0" fontId="1" fillId="6" borderId="25" xfId="2" applyFont="1" applyFill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9" fontId="0" fillId="0" borderId="150" xfId="0" applyNumberFormat="1" applyFont="1" applyBorder="1" applyAlignment="1">
      <alignment vertical="center" shrinkToFit="1"/>
    </xf>
    <xf numFmtId="183" fontId="0" fillId="0" borderId="150" xfId="4" applyNumberFormat="1" applyFont="1" applyBorder="1" applyAlignment="1">
      <alignment vertical="center" shrinkToFit="1"/>
    </xf>
    <xf numFmtId="177" fontId="0" fillId="0" borderId="92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9" fontId="0" fillId="0" borderId="92" xfId="0" applyNumberFormat="1" applyFont="1" applyBorder="1" applyAlignment="1">
      <alignment vertical="center" shrinkToFit="1"/>
    </xf>
    <xf numFmtId="183" fontId="0" fillId="0" borderId="92" xfId="4" applyNumberFormat="1" applyFont="1" applyBorder="1" applyAlignment="1">
      <alignment vertical="center" shrinkToFit="1"/>
    </xf>
    <xf numFmtId="176" fontId="0" fillId="0" borderId="92" xfId="0" applyNumberFormat="1" applyFont="1" applyBorder="1" applyAlignment="1">
      <alignment horizontal="right" vertical="center" shrinkToFit="1"/>
    </xf>
    <xf numFmtId="176" fontId="0" fillId="0" borderId="92" xfId="0" applyNumberFormat="1" applyFont="1" applyBorder="1" applyAlignment="1">
      <alignment horizontal="left"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vertical="center" shrinkToFit="1"/>
    </xf>
    <xf numFmtId="184" fontId="0" fillId="0" borderId="150" xfId="0" applyNumberFormat="1" applyFont="1" applyBorder="1" applyAlignment="1">
      <alignment vertical="center" shrinkToFit="1"/>
    </xf>
    <xf numFmtId="177" fontId="0" fillId="0" borderId="187" xfId="0" applyNumberFormat="1" applyFont="1" applyBorder="1" applyAlignment="1">
      <alignment vertical="center" shrinkToFit="1"/>
    </xf>
    <xf numFmtId="177" fontId="0" fillId="0" borderId="188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vertical="center" shrinkToFit="1"/>
    </xf>
    <xf numFmtId="0" fontId="8" fillId="0" borderId="188" xfId="2" applyFont="1" applyBorder="1" applyAlignment="1">
      <alignment horizontal="center" vertical="center" wrapText="1"/>
    </xf>
    <xf numFmtId="0" fontId="8" fillId="0" borderId="190" xfId="2" applyFont="1" applyBorder="1" applyAlignment="1">
      <alignment horizontal="center" vertical="center" wrapText="1"/>
    </xf>
    <xf numFmtId="0" fontId="0" fillId="0" borderId="92" xfId="2" applyFont="1" applyBorder="1" applyAlignment="1">
      <alignment vertical="center" wrapText="1"/>
    </xf>
    <xf numFmtId="0" fontId="0" fillId="0" borderId="92" xfId="2" applyFont="1" applyBorder="1" applyAlignment="1">
      <alignment horizontal="center" vertical="center" wrapText="1"/>
    </xf>
    <xf numFmtId="0" fontId="8" fillId="0" borderId="191" xfId="2" applyFont="1" applyBorder="1" applyAlignment="1">
      <alignment horizontal="right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150" xfId="2" applyFont="1" applyBorder="1" applyAlignment="1">
      <alignment horizontal="center" vertical="center" wrapText="1"/>
    </xf>
    <xf numFmtId="0" fontId="1" fillId="0" borderId="154" xfId="2" applyFont="1" applyBorder="1" applyAlignment="1">
      <alignment horizontal="center" vertical="center" wrapText="1"/>
    </xf>
    <xf numFmtId="0" fontId="1" fillId="0" borderId="193" xfId="2" applyFont="1" applyBorder="1" applyAlignment="1">
      <alignment horizontal="center" vertical="center" wrapText="1"/>
    </xf>
    <xf numFmtId="0" fontId="1" fillId="0" borderId="194" xfId="2" applyFont="1" applyBorder="1" applyAlignment="1">
      <alignment horizontal="center" vertical="center" wrapText="1"/>
    </xf>
    <xf numFmtId="0" fontId="1" fillId="6" borderId="154" xfId="2" applyFont="1" applyFill="1" applyBorder="1" applyAlignment="1">
      <alignment horizontal="center" vertical="center" wrapText="1"/>
    </xf>
    <xf numFmtId="0" fontId="1" fillId="0" borderId="155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8" fillId="0" borderId="89" xfId="2" applyFont="1" applyBorder="1" applyAlignment="1">
      <alignment vertical="center" wrapText="1"/>
    </xf>
    <xf numFmtId="0" fontId="0" fillId="0" borderId="124" xfId="2" applyFont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left" vertical="center" indent="1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71" xfId="0" applyNumberFormat="1" applyFont="1" applyFill="1" applyBorder="1" applyAlignment="1">
      <alignment vertical="center" shrinkToFit="1"/>
    </xf>
    <xf numFmtId="179" fontId="0" fillId="0" borderId="2" xfId="0" applyNumberFormat="1" applyFont="1" applyFill="1" applyBorder="1" applyAlignment="1">
      <alignment vertical="center" shrinkToFit="1"/>
    </xf>
    <xf numFmtId="0" fontId="0" fillId="0" borderId="188" xfId="2" applyFont="1" applyBorder="1" applyAlignment="1">
      <alignment horizontal="center" vertical="center" wrapText="1"/>
    </xf>
    <xf numFmtId="0" fontId="8" fillId="0" borderId="184" xfId="2" applyFont="1" applyBorder="1" applyAlignment="1">
      <alignment horizontal="center" vertical="center" wrapText="1"/>
    </xf>
    <xf numFmtId="0" fontId="8" fillId="0" borderId="190" xfId="2" applyFont="1" applyBorder="1" applyAlignment="1">
      <alignment vertical="center" wrapText="1"/>
    </xf>
    <xf numFmtId="0" fontId="1" fillId="0" borderId="19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177" fontId="0" fillId="0" borderId="14" xfId="0" applyNumberForma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177" fontId="15" fillId="0" borderId="92" xfId="0" applyNumberFormat="1" applyFont="1" applyFill="1" applyBorder="1" applyAlignment="1">
      <alignment vertical="center"/>
    </xf>
    <xf numFmtId="177" fontId="15" fillId="0" borderId="150" xfId="0" applyNumberFormat="1" applyFont="1" applyFill="1" applyBorder="1" applyAlignment="1">
      <alignment vertical="center"/>
    </xf>
    <xf numFmtId="177" fontId="15" fillId="0" borderId="154" xfId="0" applyNumberFormat="1" applyFont="1" applyFill="1" applyBorder="1" applyAlignment="1">
      <alignment vertical="center"/>
    </xf>
    <xf numFmtId="178" fontId="15" fillId="0" borderId="150" xfId="0" applyNumberFormat="1" applyFont="1" applyFill="1" applyBorder="1" applyAlignment="1">
      <alignment vertical="center"/>
    </xf>
    <xf numFmtId="179" fontId="0" fillId="0" borderId="138" xfId="0" applyNumberFormat="1" applyFont="1" applyFill="1" applyBorder="1" applyAlignment="1">
      <alignment horizontal="center" vertical="center" shrinkToFit="1"/>
    </xf>
    <xf numFmtId="0" fontId="8" fillId="0" borderId="16" xfId="2" applyFont="1" applyBorder="1" applyAlignment="1">
      <alignment horizontal="right" vertical="center" wrapText="1"/>
    </xf>
    <xf numFmtId="0" fontId="1" fillId="0" borderId="32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0" fontId="8" fillId="0" borderId="92" xfId="2" applyFont="1" applyBorder="1" applyAlignment="1">
      <alignment vertical="top" wrapText="1"/>
    </xf>
    <xf numFmtId="0" fontId="8" fillId="0" borderId="190" xfId="2" applyFont="1" applyBorder="1" applyAlignment="1">
      <alignment vertical="top" wrapText="1"/>
    </xf>
    <xf numFmtId="0" fontId="8" fillId="0" borderId="120" xfId="2" applyFont="1" applyBorder="1" applyAlignment="1">
      <alignment vertical="top" wrapText="1"/>
    </xf>
    <xf numFmtId="0" fontId="0" fillId="0" borderId="120" xfId="2" applyFont="1" applyBorder="1" applyAlignment="1">
      <alignment vertical="top" wrapText="1"/>
    </xf>
    <xf numFmtId="0" fontId="1" fillId="0" borderId="120" xfId="2" applyFont="1" applyBorder="1" applyAlignment="1">
      <alignment vertical="top" wrapText="1"/>
    </xf>
    <xf numFmtId="0" fontId="1" fillId="0" borderId="175" xfId="2" applyFont="1" applyBorder="1" applyAlignment="1">
      <alignment horizontal="center" vertical="top" wrapText="1"/>
    </xf>
    <xf numFmtId="176" fontId="15" fillId="0" borderId="1" xfId="0" applyNumberFormat="1" applyFont="1" applyBorder="1" applyAlignment="1">
      <alignment vertical="center" shrinkToFit="1"/>
    </xf>
    <xf numFmtId="177" fontId="0" fillId="0" borderId="150" xfId="0" applyNumberFormat="1" applyFill="1" applyBorder="1" applyAlignment="1">
      <alignment horizontal="right" vertical="center"/>
    </xf>
    <xf numFmtId="183" fontId="0" fillId="0" borderId="154" xfId="0" applyNumberFormat="1" applyFont="1" applyFill="1" applyBorder="1" applyAlignment="1">
      <alignment horizontal="left" vertical="center"/>
    </xf>
    <xf numFmtId="38" fontId="0" fillId="0" borderId="100" xfId="1" applyFont="1" applyBorder="1" applyAlignment="1">
      <alignment vertical="center" shrinkToFit="1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102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4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9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1" fillId="0" borderId="103" xfId="2" applyFont="1" applyBorder="1" applyAlignment="1">
      <alignment horizontal="center" vertical="center"/>
    </xf>
    <xf numFmtId="0" fontId="0" fillId="0" borderId="49" xfId="2" applyFont="1" applyBorder="1" applyAlignment="1">
      <alignment vertical="center" wrapText="1"/>
    </xf>
    <xf numFmtId="0" fontId="0" fillId="0" borderId="34" xfId="2" applyFont="1" applyBorder="1" applyAlignment="1">
      <alignment horizontal="left" vertical="center" wrapText="1"/>
    </xf>
    <xf numFmtId="0" fontId="1" fillId="0" borderId="40" xfId="2" applyFont="1" applyBorder="1" applyAlignment="1">
      <alignment horizontal="left" vertical="center" wrapText="1"/>
    </xf>
    <xf numFmtId="0" fontId="1" fillId="0" borderId="192" xfId="2" applyFont="1" applyBorder="1" applyAlignment="1">
      <alignment horizontal="left" vertical="center" wrapText="1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5" xfId="2" applyFont="1" applyBorder="1" applyAlignment="1">
      <alignment horizontal="center" vertical="center" wrapText="1"/>
    </xf>
    <xf numFmtId="0" fontId="8" fillId="0" borderId="96" xfId="2" applyFont="1" applyBorder="1" applyAlignment="1">
      <alignment horizontal="center" vertical="center" wrapText="1"/>
    </xf>
    <xf numFmtId="0" fontId="8" fillId="0" borderId="97" xfId="2" applyFont="1" applyBorder="1" applyAlignment="1">
      <alignment horizontal="center" vertical="center" wrapText="1"/>
    </xf>
    <xf numFmtId="0" fontId="1" fillId="0" borderId="98" xfId="2" applyFont="1" applyBorder="1" applyAlignment="1">
      <alignment horizontal="center" vertical="center"/>
    </xf>
    <xf numFmtId="0" fontId="1" fillId="0" borderId="9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1" fillId="0" borderId="10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9" xfId="2" applyFont="1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1" fillId="0" borderId="5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horizontal="left" vertical="center" wrapText="1" indent="1"/>
    </xf>
    <xf numFmtId="0" fontId="8" fillId="0" borderId="150" xfId="2" applyFont="1" applyBorder="1" applyAlignment="1">
      <alignment horizontal="left" vertical="center" wrapText="1" indent="1"/>
    </xf>
    <xf numFmtId="0" fontId="8" fillId="0" borderId="154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5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9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3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0" fillId="0" borderId="92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6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4" xfId="2" applyFont="1" applyBorder="1" applyAlignment="1">
      <alignment horizontal="center" vertical="center" wrapText="1"/>
    </xf>
    <xf numFmtId="0" fontId="8" fillId="0" borderId="179" xfId="0" applyFont="1" applyBorder="1" applyAlignment="1">
      <alignment horizontal="center" vertical="center" shrinkToFit="1"/>
    </xf>
    <xf numFmtId="0" fontId="8" fillId="0" borderId="181" xfId="0" applyFont="1" applyBorder="1" applyAlignment="1">
      <alignment horizontal="center" vertical="center" shrinkToFit="1"/>
    </xf>
    <xf numFmtId="0" fontId="8" fillId="0" borderId="180" xfId="0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90" xfId="2" applyFont="1" applyBorder="1" applyAlignment="1">
      <alignment vertical="center" wrapText="1"/>
    </xf>
    <xf numFmtId="0" fontId="8" fillId="0" borderId="104" xfId="0" quotePrefix="1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1" fillId="0" borderId="107" xfId="0" applyFont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wrapText="1" shrinkToFit="1"/>
    </xf>
    <xf numFmtId="0" fontId="1" fillId="0" borderId="78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91" xfId="2" applyFont="1" applyBorder="1" applyAlignment="1">
      <alignment horizontal="center" vertical="center" textRotation="255" wrapText="1"/>
    </xf>
    <xf numFmtId="0" fontId="8" fillId="0" borderId="187" xfId="2" applyFont="1" applyBorder="1" applyAlignment="1">
      <alignment horizontal="center" vertical="center" textRotation="255" wrapText="1"/>
    </xf>
    <xf numFmtId="0" fontId="8" fillId="0" borderId="118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76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8" fillId="0" borderId="191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180" fontId="0" fillId="0" borderId="114" xfId="1" applyNumberFormat="1" applyFont="1" applyBorder="1" applyAlignment="1">
      <alignment horizontal="center" vertical="center"/>
    </xf>
    <xf numFmtId="0" fontId="0" fillId="0" borderId="115" xfId="0" applyFont="1" applyBorder="1" applyAlignment="1">
      <alignment vertical="center"/>
    </xf>
    <xf numFmtId="0" fontId="0" fillId="0" borderId="110" xfId="0" applyFont="1" applyBorder="1" applyAlignment="1">
      <alignment horizontal="center" vertical="center" textRotation="255"/>
    </xf>
    <xf numFmtId="0" fontId="0" fillId="0" borderId="109" xfId="0" applyFont="1" applyBorder="1" applyAlignment="1">
      <alignment horizontal="center" vertical="center" textRotation="255"/>
    </xf>
    <xf numFmtId="0" fontId="0" fillId="0" borderId="111" xfId="0" applyFont="1" applyBorder="1" applyAlignment="1">
      <alignment horizontal="center" vertical="center" textRotation="255"/>
    </xf>
    <xf numFmtId="0" fontId="0" fillId="3" borderId="80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 wrapText="1"/>
    </xf>
    <xf numFmtId="0" fontId="0" fillId="0" borderId="122" xfId="0" applyFont="1" applyBorder="1" applyAlignment="1">
      <alignment horizontal="center" vertical="center" textRotation="255" wrapTex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42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0" fontId="0" fillId="4" borderId="145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4" borderId="47" xfId="0" applyFont="1" applyFill="1" applyBorder="1" applyAlignment="1">
      <alignment horizontal="center" vertical="center"/>
    </xf>
    <xf numFmtId="0" fontId="0" fillId="4" borderId="6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195" xfId="0" applyFill="1" applyBorder="1" applyAlignment="1">
      <alignment horizontal="center" vertical="center"/>
    </xf>
    <xf numFmtId="0" fontId="0" fillId="3" borderId="99" xfId="0" applyFont="1" applyFill="1" applyBorder="1" applyAlignment="1">
      <alignment horizontal="center" vertical="center"/>
    </xf>
    <xf numFmtId="0" fontId="0" fillId="3" borderId="10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 textRotation="255"/>
    </xf>
    <xf numFmtId="0" fontId="0" fillId="4" borderId="38" xfId="0" applyFont="1" applyFill="1" applyBorder="1" applyAlignment="1">
      <alignment horizontal="center" vertical="center" wrapText="1"/>
    </xf>
    <xf numFmtId="0" fontId="0" fillId="4" borderId="50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90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/>
    </xf>
    <xf numFmtId="176" fontId="0" fillId="0" borderId="59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 textRotation="255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84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5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textRotation="255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6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7" xfId="0" applyNumberFormat="1" applyBorder="1" applyAlignment="1">
      <alignment horizontal="center" vertical="center" textRotation="255" shrinkToFit="1"/>
    </xf>
    <xf numFmtId="177" fontId="0" fillId="2" borderId="143" xfId="0" applyNumberFormat="1" applyFill="1" applyBorder="1" applyAlignment="1">
      <alignment horizontal="center" vertical="center" shrinkToFit="1"/>
    </xf>
    <xf numFmtId="177" fontId="0" fillId="2" borderId="144" xfId="0" applyNumberForma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0" fontId="0" fillId="0" borderId="142" xfId="0" applyFill="1" applyBorder="1" applyAlignment="1">
      <alignment horizontal="center" vertical="center" textRotation="255" wrapText="1"/>
    </xf>
    <xf numFmtId="0" fontId="0" fillId="0" borderId="44" xfId="0" applyFont="1" applyFill="1" applyBorder="1" applyAlignment="1">
      <alignment horizontal="center" vertical="center" textRotation="255" wrapText="1"/>
    </xf>
    <xf numFmtId="0" fontId="0" fillId="0" borderId="81" xfId="0" applyFont="1" applyFill="1" applyBorder="1" applyAlignment="1">
      <alignment horizontal="center" vertical="center" textRotation="255" wrapTex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2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159" xfId="0" applyNumberFormat="1" applyFont="1" applyBorder="1" applyAlignment="1">
      <alignment vertical="center"/>
    </xf>
    <xf numFmtId="0" fontId="0" fillId="5" borderId="47" xfId="0" applyFill="1" applyBorder="1" applyAlignment="1">
      <alignment horizontal="left" vertical="center"/>
    </xf>
    <xf numFmtId="0" fontId="0" fillId="5" borderId="64" xfId="0" applyFont="1" applyFill="1" applyBorder="1" applyAlignment="1">
      <alignment horizontal="left" vertical="center"/>
    </xf>
    <xf numFmtId="177" fontId="15" fillId="0" borderId="13" xfId="0" applyNumberFormat="1" applyFont="1" applyFill="1" applyBorder="1" applyAlignment="1">
      <alignment vertical="center" shrinkToFit="1"/>
    </xf>
    <xf numFmtId="177" fontId="15" fillId="0" borderId="15" xfId="0" applyNumberFormat="1" applyFont="1" applyFill="1" applyBorder="1" applyAlignment="1">
      <alignment vertical="center" shrinkToFit="1"/>
    </xf>
    <xf numFmtId="177" fontId="0" fillId="0" borderId="110" xfId="3" applyNumberFormat="1" applyFont="1" applyBorder="1" applyAlignment="1">
      <alignment horizontal="center" vertical="center" textRotation="255"/>
    </xf>
    <xf numFmtId="177" fontId="0" fillId="0" borderId="109" xfId="3" applyNumberFormat="1" applyFont="1" applyBorder="1" applyAlignment="1">
      <alignment horizontal="center" vertical="center" textRotation="255"/>
    </xf>
    <xf numFmtId="177" fontId="0" fillId="0" borderId="111" xfId="3" applyNumberFormat="1" applyFont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5" borderId="47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64" xfId="0" applyFon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9" xfId="0" applyNumberFormat="1" applyFill="1" applyBorder="1" applyAlignment="1">
      <alignment horizontal="center" vertical="center" textRotation="255" shrinkToFit="1"/>
    </xf>
    <xf numFmtId="177" fontId="0" fillId="0" borderId="92" xfId="0" applyNumberFormat="1" applyFont="1" applyFill="1" applyBorder="1" applyAlignment="1">
      <alignment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6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4" xfId="3" applyNumberFormat="1" applyFont="1" applyFill="1" applyBorder="1" applyAlignment="1">
      <alignment horizontal="center" vertical="center" shrinkToFit="1"/>
    </xf>
    <xf numFmtId="177" fontId="0" fillId="0" borderId="15" xfId="3" applyNumberFormat="1" applyFont="1" applyFill="1" applyBorder="1" applyAlignment="1">
      <alignment horizontal="center" vertical="center" shrinkToFit="1"/>
    </xf>
    <xf numFmtId="177" fontId="0" fillId="0" borderId="189" xfId="0" applyNumberFormat="1" applyFill="1" applyBorder="1" applyAlignment="1">
      <alignment horizontal="left" vertical="center"/>
    </xf>
    <xf numFmtId="177" fontId="0" fillId="0" borderId="14" xfId="0" applyNumberFormat="1" applyFill="1" applyBorder="1" applyAlignment="1">
      <alignment horizontal="left" vertical="center"/>
    </xf>
    <xf numFmtId="177" fontId="0" fillId="0" borderId="15" xfId="0" applyNumberFormat="1" applyFill="1" applyBorder="1" applyAlignment="1">
      <alignment horizontal="left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92" xfId="0" applyNumberFormat="1" applyFill="1" applyBorder="1" applyAlignment="1">
      <alignment vertical="center"/>
    </xf>
    <xf numFmtId="0" fontId="0" fillId="0" borderId="92" xfId="0" applyFont="1" applyFill="1" applyBorder="1" applyAlignment="1">
      <alignment vertical="center"/>
    </xf>
    <xf numFmtId="0" fontId="0" fillId="0" borderId="79" xfId="0" applyFont="1" applyFill="1" applyBorder="1" applyAlignment="1">
      <alignment vertical="center"/>
    </xf>
    <xf numFmtId="177" fontId="0" fillId="0" borderId="92" xfId="0" applyNumberFormat="1" applyFont="1" applyFill="1" applyBorder="1" applyAlignment="1">
      <alignment vertical="center"/>
    </xf>
    <xf numFmtId="177" fontId="0" fillId="0" borderId="134" xfId="0" applyNumberFormat="1" applyBorder="1" applyAlignment="1">
      <alignment horizontal="center" vertical="center" textRotation="255" shrinkToFit="1"/>
    </xf>
    <xf numFmtId="177" fontId="0" fillId="0" borderId="59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91" xfId="0" applyNumberFormat="1" applyFont="1" applyBorder="1" applyAlignment="1">
      <alignment horizontal="center" vertical="center" shrinkToFit="1"/>
    </xf>
    <xf numFmtId="177" fontId="0" fillId="0" borderId="92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horizontal="center" vertical="center" shrinkToFit="1"/>
    </xf>
    <xf numFmtId="177" fontId="0" fillId="0" borderId="189" xfId="0" applyNumberFormat="1" applyFill="1" applyBorder="1" applyAlignment="1">
      <alignment horizontal="left" vertical="center" shrinkToFit="1"/>
    </xf>
    <xf numFmtId="177" fontId="0" fillId="0" borderId="14" xfId="0" applyNumberFormat="1" applyFill="1" applyBorder="1" applyAlignment="1">
      <alignment horizontal="left" vertical="center" shrinkToFit="1"/>
    </xf>
    <xf numFmtId="177" fontId="0" fillId="0" borderId="15" xfId="0" applyNumberFormat="1" applyFill="1" applyBorder="1" applyAlignment="1">
      <alignment horizontal="left" vertical="center" shrinkToFit="1"/>
    </xf>
    <xf numFmtId="177" fontId="0" fillId="2" borderId="87" xfId="0" applyNumberFormat="1" applyFont="1" applyFill="1" applyBorder="1" applyAlignment="1">
      <alignment horizontal="center" vertical="center" shrinkToFit="1"/>
    </xf>
    <xf numFmtId="177" fontId="0" fillId="2" borderId="88" xfId="0" applyNumberFormat="1" applyFont="1" applyFill="1" applyBorder="1" applyAlignment="1">
      <alignment horizontal="center" vertical="center" shrinkToFit="1"/>
    </xf>
    <xf numFmtId="176" fontId="0" fillId="2" borderId="132" xfId="0" applyNumberFormat="1" applyFont="1" applyFill="1" applyBorder="1" applyAlignment="1">
      <alignment horizontal="center" vertical="center" shrinkToFit="1"/>
    </xf>
    <xf numFmtId="176" fontId="0" fillId="2" borderId="88" xfId="0" applyNumberFormat="1" applyFont="1" applyFill="1" applyBorder="1" applyAlignment="1">
      <alignment horizontal="center" vertical="center" shrinkToFit="1"/>
    </xf>
    <xf numFmtId="177" fontId="0" fillId="2" borderId="173" xfId="0" applyNumberFormat="1" applyFont="1" applyFill="1" applyBorder="1" applyAlignment="1">
      <alignment horizontal="center" vertical="center" shrinkToFit="1"/>
    </xf>
    <xf numFmtId="177" fontId="0" fillId="2" borderId="174" xfId="0" applyNumberFormat="1" applyFont="1" applyFill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7" fontId="0" fillId="0" borderId="164" xfId="3" applyNumberFormat="1" applyFont="1" applyBorder="1" applyAlignment="1">
      <alignment horizontal="center" vertical="center" textRotation="255" shrinkToFit="1"/>
    </xf>
    <xf numFmtId="177" fontId="0" fillId="0" borderId="102" xfId="3" applyNumberFormat="1" applyFont="1" applyBorder="1" applyAlignment="1">
      <alignment horizontal="center" vertical="center" textRotation="255" shrinkToFit="1"/>
    </xf>
    <xf numFmtId="177" fontId="0" fillId="0" borderId="161" xfId="3" applyNumberFormat="1" applyFont="1" applyBorder="1" applyAlignment="1">
      <alignment horizontal="center" vertical="center" textRotation="255" shrinkToFit="1"/>
    </xf>
    <xf numFmtId="176" fontId="0" fillId="0" borderId="167" xfId="3" applyNumberFormat="1" applyFont="1" applyFill="1" applyBorder="1" applyAlignment="1">
      <alignment vertical="center" shrinkToFit="1"/>
    </xf>
    <xf numFmtId="176" fontId="0" fillId="0" borderId="168" xfId="3" applyNumberFormat="1" applyFont="1" applyFill="1" applyBorder="1" applyAlignment="1">
      <alignment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8" xfId="5" applyNumberFormat="1" applyFont="1" applyFill="1" applyBorder="1" applyAlignment="1">
      <alignment horizontal="center"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7" fontId="0" fillId="0" borderId="162" xfId="3" applyNumberFormat="1" applyFont="1" applyBorder="1" applyAlignment="1">
      <alignment horizontal="center" vertical="center" textRotation="255" shrinkToFit="1"/>
    </xf>
    <xf numFmtId="176" fontId="0" fillId="0" borderId="24" xfId="0" applyNumberFormat="1" applyFont="1" applyBorder="1" applyAlignment="1">
      <alignment vertical="center"/>
    </xf>
    <xf numFmtId="177" fontId="0" fillId="0" borderId="177" xfId="3" applyNumberFormat="1" applyFont="1" applyBorder="1" applyAlignment="1">
      <alignment horizontal="center" vertical="center" shrinkToFit="1"/>
    </xf>
    <xf numFmtId="177" fontId="0" fillId="0" borderId="109" xfId="3" applyNumberFormat="1" applyFont="1" applyBorder="1" applyAlignment="1">
      <alignment horizontal="center" vertical="center" shrinkToFit="1"/>
    </xf>
    <xf numFmtId="177" fontId="0" fillId="0" borderId="178" xfId="3" applyNumberFormat="1" applyFont="1" applyBorder="1" applyAlignment="1">
      <alignment horizontal="center" vertical="center" shrinkToFit="1"/>
    </xf>
    <xf numFmtId="176" fontId="0" fillId="0" borderId="165" xfId="0" applyNumberFormat="1" applyFont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61" xfId="3" applyNumberFormat="1" applyFont="1" applyBorder="1" applyAlignment="1">
      <alignment horizontal="center" vertical="center" shrinkToFit="1"/>
    </xf>
    <xf numFmtId="177" fontId="0" fillId="0" borderId="170" xfId="3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7" xfId="3" applyNumberFormat="1" applyFont="1" applyBorder="1" applyAlignment="1">
      <alignment horizontal="center" vertical="center" shrinkToFit="1"/>
    </xf>
    <xf numFmtId="0" fontId="0" fillId="0" borderId="109" xfId="0" applyFont="1" applyBorder="1">
      <alignment vertical="center"/>
    </xf>
    <xf numFmtId="0" fontId="0" fillId="0" borderId="170" xfId="0" applyFont="1" applyBorder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132" xfId="0" applyNumberFormat="1" applyFont="1" applyFill="1" applyBorder="1" applyAlignment="1">
      <alignment horizontal="center" vertical="center" shrinkToFit="1"/>
    </xf>
    <xf numFmtId="176" fontId="0" fillId="0" borderId="148" xfId="0" applyNumberFormat="1" applyFont="1" applyBorder="1" applyAlignment="1">
      <alignment horizontal="center" vertical="center" textRotation="255" shrinkToFit="1"/>
    </xf>
    <xf numFmtId="176" fontId="0" fillId="0" borderId="110" xfId="0" applyNumberFormat="1" applyFont="1" applyBorder="1" applyAlignment="1">
      <alignment horizontal="center" vertical="center" textRotation="255" shrinkToFit="1"/>
    </xf>
    <xf numFmtId="176" fontId="0" fillId="0" borderId="137" xfId="0" applyNumberFormat="1" applyFont="1" applyBorder="1" applyAlignment="1">
      <alignment horizontal="center" vertical="center" textRotation="255" shrinkToFit="1"/>
    </xf>
    <xf numFmtId="176" fontId="0" fillId="0" borderId="135" xfId="0" applyNumberFormat="1" applyFont="1" applyBorder="1" applyAlignment="1">
      <alignment horizontal="center" vertical="center" shrinkToFit="1"/>
    </xf>
    <xf numFmtId="176" fontId="0" fillId="0" borderId="138" xfId="0" applyNumberFormat="1" applyFont="1" applyBorder="1" applyAlignment="1">
      <alignment horizontal="center" vertical="center" shrinkToFit="1"/>
    </xf>
    <xf numFmtId="176" fontId="0" fillId="0" borderId="136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6"/>
    <cellStyle name="ハイパーリンク_20101209　経営改善計画検討手順（素案）" xfId="7"/>
    <cellStyle name="桁区切り" xfId="1" builtinId="6"/>
    <cellStyle name="桁区切り 2" xfId="8"/>
    <cellStyle name="標準" xfId="0" builtinId="0"/>
    <cellStyle name="標準 2" xfId="9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19</xdr:row>
      <xdr:rowOff>0</xdr:rowOff>
    </xdr:from>
    <xdr:to>
      <xdr:col>28</xdr:col>
      <xdr:colOff>13747</xdr:colOff>
      <xdr:row>20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190500</xdr:colOff>
      <xdr:row>12</xdr:row>
      <xdr:rowOff>119063</xdr:rowOff>
    </xdr:from>
    <xdr:to>
      <xdr:col>16</xdr:col>
      <xdr:colOff>35719</xdr:colOff>
      <xdr:row>12</xdr:row>
      <xdr:rowOff>119063</xdr:rowOff>
    </xdr:to>
    <xdr:cxnSp macro="">
      <xdr:nvCxnSpPr>
        <xdr:cNvPr id="3" name="直線コネクタ 2"/>
        <xdr:cNvCxnSpPr/>
      </xdr:nvCxnSpPr>
      <xdr:spPr>
        <a:xfrm>
          <a:off x="5679281" y="3167063"/>
          <a:ext cx="3690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202407</xdr:colOff>
      <xdr:row>12</xdr:row>
      <xdr:rowOff>166688</xdr:rowOff>
    </xdr:from>
    <xdr:to>
      <xdr:col>18</xdr:col>
      <xdr:colOff>59532</xdr:colOff>
      <xdr:row>13</xdr:row>
      <xdr:rowOff>107157</xdr:rowOff>
    </xdr:to>
    <xdr:cxnSp macro="">
      <xdr:nvCxnSpPr>
        <xdr:cNvPr id="7" name="直線コネクタ 6"/>
        <xdr:cNvCxnSpPr/>
      </xdr:nvCxnSpPr>
      <xdr:spPr>
        <a:xfrm>
          <a:off x="5691188" y="3214688"/>
          <a:ext cx="904875" cy="1905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19</xdr:col>
      <xdr:colOff>226218</xdr:colOff>
      <xdr:row>15</xdr:row>
      <xdr:rowOff>119062</xdr:rowOff>
    </xdr:from>
    <xdr:to>
      <xdr:col>25</xdr:col>
      <xdr:colOff>35718</xdr:colOff>
      <xdr:row>15</xdr:row>
      <xdr:rowOff>119062</xdr:rowOff>
    </xdr:to>
    <xdr:cxnSp macro="">
      <xdr:nvCxnSpPr>
        <xdr:cNvPr id="9" name="直線コネクタ 8"/>
        <xdr:cNvCxnSpPr/>
      </xdr:nvCxnSpPr>
      <xdr:spPr>
        <a:xfrm>
          <a:off x="7024687" y="3917156"/>
          <a:ext cx="138112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22</xdr:col>
      <xdr:colOff>202406</xdr:colOff>
      <xdr:row>16</xdr:row>
      <xdr:rowOff>130968</xdr:rowOff>
    </xdr:from>
    <xdr:to>
      <xdr:col>28</xdr:col>
      <xdr:colOff>95250</xdr:colOff>
      <xdr:row>16</xdr:row>
      <xdr:rowOff>130968</xdr:rowOff>
    </xdr:to>
    <xdr:cxnSp macro="">
      <xdr:nvCxnSpPr>
        <xdr:cNvPr id="14" name="直線コネクタ 13"/>
        <xdr:cNvCxnSpPr/>
      </xdr:nvCxnSpPr>
      <xdr:spPr>
        <a:xfrm>
          <a:off x="7786687" y="4179093"/>
          <a:ext cx="1464469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18</xdr:col>
      <xdr:colOff>190500</xdr:colOff>
      <xdr:row>13</xdr:row>
      <xdr:rowOff>119062</xdr:rowOff>
    </xdr:from>
    <xdr:to>
      <xdr:col>20</xdr:col>
      <xdr:colOff>83344</xdr:colOff>
      <xdr:row>13</xdr:row>
      <xdr:rowOff>119062</xdr:rowOff>
    </xdr:to>
    <xdr:cxnSp macro="">
      <xdr:nvCxnSpPr>
        <xdr:cNvPr id="8" name="直線コネクタ 7"/>
        <xdr:cNvCxnSpPr/>
      </xdr:nvCxnSpPr>
      <xdr:spPr>
        <a:xfrm>
          <a:off x="6727031" y="3167062"/>
          <a:ext cx="416719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16</xdr:col>
      <xdr:colOff>202407</xdr:colOff>
      <xdr:row>12</xdr:row>
      <xdr:rowOff>142875</xdr:rowOff>
    </xdr:from>
    <xdr:to>
      <xdr:col>20</xdr:col>
      <xdr:colOff>59532</xdr:colOff>
      <xdr:row>13</xdr:row>
      <xdr:rowOff>83344</xdr:rowOff>
    </xdr:to>
    <xdr:cxnSp macro="">
      <xdr:nvCxnSpPr>
        <xdr:cNvPr id="11" name="直線コネクタ 10"/>
        <xdr:cNvCxnSpPr/>
      </xdr:nvCxnSpPr>
      <xdr:spPr>
        <a:xfrm>
          <a:off x="6215063" y="3190875"/>
          <a:ext cx="904875" cy="1905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18</xdr:col>
      <xdr:colOff>154781</xdr:colOff>
      <xdr:row>13</xdr:row>
      <xdr:rowOff>119063</xdr:rowOff>
    </xdr:from>
    <xdr:to>
      <xdr:col>24</xdr:col>
      <xdr:colOff>23813</xdr:colOff>
      <xdr:row>14</xdr:row>
      <xdr:rowOff>154781</xdr:rowOff>
    </xdr:to>
    <xdr:cxnSp macro="">
      <xdr:nvCxnSpPr>
        <xdr:cNvPr id="15" name="直線コネクタ 14"/>
        <xdr:cNvCxnSpPr/>
      </xdr:nvCxnSpPr>
      <xdr:spPr>
        <a:xfrm>
          <a:off x="6691312" y="3417094"/>
          <a:ext cx="1440657" cy="28575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20</xdr:col>
      <xdr:colOff>166688</xdr:colOff>
      <xdr:row>13</xdr:row>
      <xdr:rowOff>130969</xdr:rowOff>
    </xdr:from>
    <xdr:to>
      <xdr:col>27</xdr:col>
      <xdr:colOff>202406</xdr:colOff>
      <xdr:row>14</xdr:row>
      <xdr:rowOff>0</xdr:rowOff>
    </xdr:to>
    <xdr:cxnSp macro="">
      <xdr:nvCxnSpPr>
        <xdr:cNvPr id="17" name="直線コネクタ 16"/>
        <xdr:cNvCxnSpPr/>
      </xdr:nvCxnSpPr>
      <xdr:spPr>
        <a:xfrm>
          <a:off x="7227094" y="3429000"/>
          <a:ext cx="1869281" cy="11906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19</xdr:col>
      <xdr:colOff>178594</xdr:colOff>
      <xdr:row>15</xdr:row>
      <xdr:rowOff>166688</xdr:rowOff>
    </xdr:from>
    <xdr:to>
      <xdr:col>22</xdr:col>
      <xdr:colOff>95250</xdr:colOff>
      <xdr:row>16</xdr:row>
      <xdr:rowOff>130969</xdr:rowOff>
    </xdr:to>
    <xdr:cxnSp macro="">
      <xdr:nvCxnSpPr>
        <xdr:cNvPr id="29" name="直線コネクタ 28"/>
        <xdr:cNvCxnSpPr/>
      </xdr:nvCxnSpPr>
      <xdr:spPr>
        <a:xfrm>
          <a:off x="6977063" y="3964782"/>
          <a:ext cx="702468" cy="21431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25</xdr:col>
      <xdr:colOff>202406</xdr:colOff>
      <xdr:row>15</xdr:row>
      <xdr:rowOff>142874</xdr:rowOff>
    </xdr:from>
    <xdr:to>
      <xdr:col>28</xdr:col>
      <xdr:colOff>130969</xdr:colOff>
      <xdr:row>16</xdr:row>
      <xdr:rowOff>142875</xdr:rowOff>
    </xdr:to>
    <xdr:cxnSp macro="">
      <xdr:nvCxnSpPr>
        <xdr:cNvPr id="30" name="直線コネクタ 29"/>
        <xdr:cNvCxnSpPr/>
      </xdr:nvCxnSpPr>
      <xdr:spPr>
        <a:xfrm>
          <a:off x="8572500" y="3940968"/>
          <a:ext cx="714375" cy="25003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22</xdr:col>
      <xdr:colOff>154780</xdr:colOff>
      <xdr:row>16</xdr:row>
      <xdr:rowOff>154781</xdr:rowOff>
    </xdr:from>
    <xdr:to>
      <xdr:col>28</xdr:col>
      <xdr:colOff>0</xdr:colOff>
      <xdr:row>17</xdr:row>
      <xdr:rowOff>154782</xdr:rowOff>
    </xdr:to>
    <xdr:cxnSp macro="">
      <xdr:nvCxnSpPr>
        <xdr:cNvPr id="31" name="直線コネクタ 30"/>
        <xdr:cNvCxnSpPr/>
      </xdr:nvCxnSpPr>
      <xdr:spPr>
        <a:xfrm>
          <a:off x="7739061" y="4202906"/>
          <a:ext cx="1416845" cy="25003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28</xdr:col>
      <xdr:colOff>178593</xdr:colOff>
      <xdr:row>16</xdr:row>
      <xdr:rowOff>130969</xdr:rowOff>
    </xdr:from>
    <xdr:to>
      <xdr:col>38</xdr:col>
      <xdr:colOff>250032</xdr:colOff>
      <xdr:row>17</xdr:row>
      <xdr:rowOff>0</xdr:rowOff>
    </xdr:to>
    <xdr:cxnSp macro="">
      <xdr:nvCxnSpPr>
        <xdr:cNvPr id="32" name="直線コネクタ 31"/>
        <xdr:cNvCxnSpPr/>
      </xdr:nvCxnSpPr>
      <xdr:spPr>
        <a:xfrm>
          <a:off x="9334499" y="4179094"/>
          <a:ext cx="2690814" cy="119062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272141</xdr:colOff>
      <xdr:row>4</xdr:row>
      <xdr:rowOff>117362</xdr:rowOff>
    </xdr:from>
    <xdr:to>
      <xdr:col>13</xdr:col>
      <xdr:colOff>163286</xdr:colOff>
      <xdr:row>4</xdr:row>
      <xdr:rowOff>117362</xdr:rowOff>
    </xdr:to>
    <xdr:cxnSp macro="">
      <xdr:nvCxnSpPr>
        <xdr:cNvPr id="6" name="直線コネクタ 5"/>
        <xdr:cNvCxnSpPr/>
      </xdr:nvCxnSpPr>
      <xdr:spPr>
        <a:xfrm>
          <a:off x="5823855" y="1042648"/>
          <a:ext cx="12790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284047</xdr:colOff>
      <xdr:row>4</xdr:row>
      <xdr:rowOff>130968</xdr:rowOff>
    </xdr:from>
    <xdr:to>
      <xdr:col>16</xdr:col>
      <xdr:colOff>204108</xdr:colOff>
      <xdr:row>4</xdr:row>
      <xdr:rowOff>130968</xdr:rowOff>
    </xdr:to>
    <xdr:cxnSp macro="">
      <xdr:nvCxnSpPr>
        <xdr:cNvPr id="7" name="直線コネクタ 6"/>
        <xdr:cNvCxnSpPr/>
      </xdr:nvCxnSpPr>
      <xdr:spPr>
        <a:xfrm>
          <a:off x="7686333" y="1056254"/>
          <a:ext cx="845346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15</xdr:col>
      <xdr:colOff>309560</xdr:colOff>
      <xdr:row>5</xdr:row>
      <xdr:rowOff>154781</xdr:rowOff>
    </xdr:from>
    <xdr:to>
      <xdr:col>21</xdr:col>
      <xdr:colOff>136071</xdr:colOff>
      <xdr:row>5</xdr:row>
      <xdr:rowOff>154781</xdr:rowOff>
    </xdr:to>
    <xdr:cxnSp macro="">
      <xdr:nvCxnSpPr>
        <xdr:cNvPr id="8" name="直線コネクタ 7"/>
        <xdr:cNvCxnSpPr/>
      </xdr:nvCxnSpPr>
      <xdr:spPr>
        <a:xfrm>
          <a:off x="8174489" y="1324995"/>
          <a:ext cx="2602368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18</xdr:col>
      <xdr:colOff>285747</xdr:colOff>
      <xdr:row>5</xdr:row>
      <xdr:rowOff>321467</xdr:rowOff>
    </xdr:from>
    <xdr:to>
      <xdr:col>24</xdr:col>
      <xdr:colOff>178591</xdr:colOff>
      <xdr:row>5</xdr:row>
      <xdr:rowOff>321467</xdr:rowOff>
    </xdr:to>
    <xdr:cxnSp macro="">
      <xdr:nvCxnSpPr>
        <xdr:cNvPr id="9" name="直線コネクタ 8"/>
        <xdr:cNvCxnSpPr/>
      </xdr:nvCxnSpPr>
      <xdr:spPr>
        <a:xfrm>
          <a:off x="9560716" y="1500186"/>
          <a:ext cx="2678906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15</xdr:col>
      <xdr:colOff>299348</xdr:colOff>
      <xdr:row>5</xdr:row>
      <xdr:rowOff>173489</xdr:rowOff>
    </xdr:from>
    <xdr:to>
      <xdr:col>18</xdr:col>
      <xdr:colOff>204107</xdr:colOff>
      <xdr:row>5</xdr:row>
      <xdr:rowOff>326572</xdr:rowOff>
    </xdr:to>
    <xdr:cxnSp macro="">
      <xdr:nvCxnSpPr>
        <xdr:cNvPr id="18" name="直線コネクタ 17"/>
        <xdr:cNvCxnSpPr/>
      </xdr:nvCxnSpPr>
      <xdr:spPr>
        <a:xfrm>
          <a:off x="8164277" y="1343703"/>
          <a:ext cx="1292687" cy="15308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21</xdr:col>
      <xdr:colOff>265330</xdr:colOff>
      <xdr:row>5</xdr:row>
      <xdr:rowOff>149677</xdr:rowOff>
    </xdr:from>
    <xdr:to>
      <xdr:col>24</xdr:col>
      <xdr:colOff>217715</xdr:colOff>
      <xdr:row>5</xdr:row>
      <xdr:rowOff>312965</xdr:rowOff>
    </xdr:to>
    <xdr:cxnSp macro="">
      <xdr:nvCxnSpPr>
        <xdr:cNvPr id="19" name="直線コネクタ 18"/>
        <xdr:cNvCxnSpPr/>
      </xdr:nvCxnSpPr>
      <xdr:spPr>
        <a:xfrm>
          <a:off x="10906116" y="1319891"/>
          <a:ext cx="1340313" cy="163288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18</xdr:col>
      <xdr:colOff>265330</xdr:colOff>
      <xdr:row>5</xdr:row>
      <xdr:rowOff>335074</xdr:rowOff>
    </xdr:from>
    <xdr:to>
      <xdr:col>24</xdr:col>
      <xdr:colOff>13607</xdr:colOff>
      <xdr:row>6</xdr:row>
      <xdr:rowOff>136071</xdr:rowOff>
    </xdr:to>
    <xdr:cxnSp macro="">
      <xdr:nvCxnSpPr>
        <xdr:cNvPr id="20" name="直線コネクタ 19"/>
        <xdr:cNvCxnSpPr/>
      </xdr:nvCxnSpPr>
      <xdr:spPr>
        <a:xfrm>
          <a:off x="9518187" y="1505288"/>
          <a:ext cx="2524134" cy="25003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24</xdr:col>
      <xdr:colOff>256826</xdr:colOff>
      <xdr:row>5</xdr:row>
      <xdr:rowOff>346980</xdr:rowOff>
    </xdr:from>
    <xdr:to>
      <xdr:col>35</xdr:col>
      <xdr:colOff>0</xdr:colOff>
      <xdr:row>5</xdr:row>
      <xdr:rowOff>435429</xdr:rowOff>
    </xdr:to>
    <xdr:cxnSp macro="">
      <xdr:nvCxnSpPr>
        <xdr:cNvPr id="21" name="直線コネクタ 20"/>
        <xdr:cNvCxnSpPr/>
      </xdr:nvCxnSpPr>
      <xdr:spPr>
        <a:xfrm>
          <a:off x="12285540" y="1517194"/>
          <a:ext cx="4832246" cy="88449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"/>
  <sheetViews>
    <sheetView tabSelected="1" zoomScale="75" zoomScaleNormal="75" zoomScaleSheetLayoutView="80" workbookViewId="0"/>
  </sheetViews>
  <sheetFormatPr defaultRowHeight="13.5" x14ac:dyDescent="0.15"/>
  <cols>
    <col min="1" max="1" width="1.625" style="93" customWidth="1"/>
    <col min="2" max="3" width="7.625" style="93" customWidth="1"/>
    <col min="4" max="6" width="9" style="93"/>
    <col min="7" max="7" width="3.5" style="93" customWidth="1"/>
    <col min="8" max="8" width="3.625" style="93" customWidth="1"/>
    <col min="9" max="9" width="3.75" style="93" customWidth="1"/>
    <col min="10" max="42" width="3.5" style="93" customWidth="1"/>
    <col min="43" max="43" width="1.375" style="93" customWidth="1"/>
    <col min="44" max="16384" width="9" style="93"/>
  </cols>
  <sheetData>
    <row r="1" spans="1:42" ht="9.9499999999999993" customHeight="1" thickBot="1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42" ht="39.950000000000003" customHeight="1" thickBot="1" x14ac:dyDescent="0.2">
      <c r="A2" s="101"/>
      <c r="B2" s="102" t="s">
        <v>86</v>
      </c>
      <c r="C2" s="506" t="s">
        <v>266</v>
      </c>
      <c r="D2" s="507"/>
      <c r="E2" s="269" t="s">
        <v>71</v>
      </c>
      <c r="F2" s="506" t="s">
        <v>267</v>
      </c>
      <c r="G2" s="508"/>
      <c r="H2" s="508"/>
      <c r="I2" s="508"/>
      <c r="J2" s="508"/>
      <c r="K2" s="508"/>
      <c r="L2" s="508"/>
      <c r="M2" s="508"/>
      <c r="N2" s="507"/>
      <c r="O2" s="516" t="s">
        <v>72</v>
      </c>
      <c r="P2" s="517"/>
      <c r="Q2" s="518"/>
      <c r="R2" s="519" t="s">
        <v>387</v>
      </c>
      <c r="S2" s="520"/>
      <c r="T2" s="520"/>
      <c r="U2" s="520"/>
      <c r="V2" s="521" t="s">
        <v>73</v>
      </c>
      <c r="W2" s="520"/>
      <c r="X2" s="520"/>
      <c r="Y2" s="513" t="s">
        <v>268</v>
      </c>
      <c r="Z2" s="514"/>
      <c r="AA2" s="515"/>
      <c r="AB2" s="103"/>
      <c r="AC2" s="103"/>
      <c r="AD2" s="103"/>
    </row>
    <row r="3" spans="1:42" ht="9.9499999999999993" customHeight="1" x14ac:dyDescent="0.15">
      <c r="B3" s="104"/>
    </row>
    <row r="4" spans="1:42" ht="24.95" customHeight="1" thickBot="1" x14ac:dyDescent="0.2">
      <c r="B4" s="93" t="s">
        <v>113</v>
      </c>
    </row>
    <row r="5" spans="1:42" ht="20.100000000000001" customHeight="1" x14ac:dyDescent="0.15">
      <c r="B5" s="509" t="s">
        <v>114</v>
      </c>
      <c r="C5" s="458"/>
      <c r="D5" s="510"/>
      <c r="E5" s="511"/>
      <c r="F5" s="511"/>
      <c r="G5" s="512"/>
      <c r="H5" s="462" t="s">
        <v>74</v>
      </c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9"/>
      <c r="AD5" s="103"/>
      <c r="AE5" s="103"/>
      <c r="AF5" s="103"/>
      <c r="AG5" s="103"/>
      <c r="AH5" s="103"/>
      <c r="AI5" s="103"/>
      <c r="AJ5" s="103"/>
      <c r="AK5" s="103"/>
      <c r="AL5" s="103"/>
    </row>
    <row r="6" spans="1:42" ht="20.100000000000001" customHeight="1" x14ac:dyDescent="0.15">
      <c r="B6" s="481" t="s">
        <v>75</v>
      </c>
      <c r="C6" s="482"/>
      <c r="D6" s="482"/>
      <c r="E6" s="482"/>
      <c r="F6" s="482"/>
      <c r="G6" s="478"/>
      <c r="H6" s="478" t="s">
        <v>76</v>
      </c>
      <c r="I6" s="479"/>
      <c r="J6" s="479"/>
      <c r="K6" s="479"/>
      <c r="L6" s="479"/>
      <c r="M6" s="479"/>
      <c r="N6" s="478" t="s">
        <v>77</v>
      </c>
      <c r="O6" s="479"/>
      <c r="P6" s="479"/>
      <c r="Q6" s="478" t="s">
        <v>78</v>
      </c>
      <c r="R6" s="479"/>
      <c r="S6" s="479"/>
      <c r="T6" s="479"/>
      <c r="U6" s="479"/>
      <c r="V6" s="479"/>
      <c r="W6" s="479"/>
      <c r="X6" s="480"/>
      <c r="Y6" s="479" t="s">
        <v>79</v>
      </c>
      <c r="Z6" s="479"/>
      <c r="AA6" s="495"/>
    </row>
    <row r="7" spans="1:42" ht="20.100000000000001" customHeight="1" x14ac:dyDescent="0.15">
      <c r="B7" s="453" t="s">
        <v>80</v>
      </c>
      <c r="C7" s="485"/>
      <c r="D7" s="502"/>
      <c r="E7" s="437"/>
      <c r="F7" s="437"/>
      <c r="G7" s="437"/>
      <c r="H7" s="503" t="s">
        <v>269</v>
      </c>
      <c r="I7" s="504"/>
      <c r="J7" s="504"/>
      <c r="K7" s="504"/>
      <c r="L7" s="504"/>
      <c r="M7" s="505"/>
      <c r="N7" s="503" t="s">
        <v>388</v>
      </c>
      <c r="O7" s="504"/>
      <c r="P7" s="505"/>
      <c r="Q7" s="497"/>
      <c r="R7" s="498"/>
      <c r="S7" s="498"/>
      <c r="T7" s="498"/>
      <c r="U7" s="498"/>
      <c r="V7" s="498"/>
      <c r="W7" s="498"/>
      <c r="X7" s="499"/>
      <c r="Y7" s="500"/>
      <c r="Z7" s="500"/>
      <c r="AA7" s="501"/>
    </row>
    <row r="8" spans="1:42" ht="20.100000000000001" customHeight="1" x14ac:dyDescent="0.15">
      <c r="B8" s="481" t="s">
        <v>81</v>
      </c>
      <c r="C8" s="482"/>
      <c r="D8" s="496" t="s">
        <v>389</v>
      </c>
      <c r="E8" s="483"/>
      <c r="F8" s="483"/>
      <c r="G8" s="484"/>
      <c r="H8" s="478"/>
      <c r="I8" s="479"/>
      <c r="J8" s="479"/>
      <c r="K8" s="479"/>
      <c r="L8" s="479"/>
      <c r="M8" s="480"/>
      <c r="N8" s="478"/>
      <c r="O8" s="479"/>
      <c r="P8" s="480"/>
      <c r="Q8" s="492"/>
      <c r="R8" s="493"/>
      <c r="S8" s="493"/>
      <c r="T8" s="493"/>
      <c r="U8" s="493"/>
      <c r="V8" s="493"/>
      <c r="W8" s="493"/>
      <c r="X8" s="494"/>
      <c r="Y8" s="478"/>
      <c r="Z8" s="479"/>
      <c r="AA8" s="495"/>
    </row>
    <row r="9" spans="1:42" ht="20.100000000000001" customHeight="1" x14ac:dyDescent="0.15">
      <c r="B9" s="481" t="s">
        <v>82</v>
      </c>
      <c r="C9" s="482"/>
      <c r="D9" s="483"/>
      <c r="E9" s="483"/>
      <c r="F9" s="483"/>
      <c r="G9" s="484"/>
      <c r="H9" s="478"/>
      <c r="I9" s="479"/>
      <c r="J9" s="479"/>
      <c r="K9" s="479"/>
      <c r="L9" s="479"/>
      <c r="M9" s="480"/>
      <c r="N9" s="478"/>
      <c r="O9" s="479"/>
      <c r="P9" s="480"/>
      <c r="Q9" s="492"/>
      <c r="R9" s="493"/>
      <c r="S9" s="493"/>
      <c r="T9" s="493"/>
      <c r="U9" s="493"/>
      <c r="V9" s="493"/>
      <c r="W9" s="493"/>
      <c r="X9" s="494"/>
      <c r="Y9" s="478"/>
      <c r="Z9" s="479"/>
      <c r="AA9" s="495"/>
    </row>
    <row r="10" spans="1:42" ht="20.100000000000001" customHeight="1" x14ac:dyDescent="0.15">
      <c r="B10" s="481" t="s">
        <v>83</v>
      </c>
      <c r="C10" s="482"/>
      <c r="D10" s="483"/>
      <c r="E10" s="483"/>
      <c r="F10" s="483"/>
      <c r="G10" s="484"/>
      <c r="H10" s="476"/>
      <c r="I10" s="477"/>
      <c r="J10" s="477"/>
      <c r="K10" s="477"/>
      <c r="L10" s="477"/>
      <c r="M10" s="477"/>
      <c r="N10" s="478"/>
      <c r="O10" s="479"/>
      <c r="P10" s="480"/>
      <c r="Q10" s="492"/>
      <c r="R10" s="493"/>
      <c r="S10" s="493"/>
      <c r="T10" s="493"/>
      <c r="U10" s="493"/>
      <c r="V10" s="493"/>
      <c r="W10" s="493"/>
      <c r="X10" s="494"/>
      <c r="Y10" s="479"/>
      <c r="Z10" s="479"/>
      <c r="AA10" s="495"/>
    </row>
    <row r="11" spans="1:42" ht="20.100000000000001" customHeight="1" thickBot="1" x14ac:dyDescent="0.2">
      <c r="B11" s="454" t="s">
        <v>84</v>
      </c>
      <c r="C11" s="485"/>
      <c r="D11" s="486"/>
      <c r="E11" s="486"/>
      <c r="F11" s="486"/>
      <c r="G11" s="487"/>
      <c r="H11" s="488"/>
      <c r="I11" s="489"/>
      <c r="J11" s="489"/>
      <c r="K11" s="489"/>
      <c r="L11" s="489"/>
      <c r="M11" s="489"/>
      <c r="N11" s="475"/>
      <c r="O11" s="473"/>
      <c r="P11" s="473"/>
      <c r="Q11" s="470"/>
      <c r="R11" s="471"/>
      <c r="S11" s="471"/>
      <c r="T11" s="471"/>
      <c r="U11" s="471"/>
      <c r="V11" s="471"/>
      <c r="W11" s="471"/>
      <c r="X11" s="472"/>
      <c r="Y11" s="473"/>
      <c r="Z11" s="473"/>
      <c r="AA11" s="474"/>
    </row>
    <row r="12" spans="1:42" ht="20.100000000000001" customHeight="1" x14ac:dyDescent="0.15">
      <c r="B12" s="490" t="s">
        <v>111</v>
      </c>
      <c r="C12" s="462" t="s">
        <v>115</v>
      </c>
      <c r="D12" s="458"/>
      <c r="E12" s="463"/>
      <c r="F12" s="94" t="s">
        <v>112</v>
      </c>
      <c r="G12" s="462">
        <v>1</v>
      </c>
      <c r="H12" s="458"/>
      <c r="I12" s="458"/>
      <c r="J12" s="462">
        <v>2</v>
      </c>
      <c r="K12" s="458"/>
      <c r="L12" s="463"/>
      <c r="M12" s="458">
        <v>3</v>
      </c>
      <c r="N12" s="458"/>
      <c r="O12" s="465"/>
      <c r="P12" s="462">
        <v>4</v>
      </c>
      <c r="Q12" s="458"/>
      <c r="R12" s="463"/>
      <c r="S12" s="464">
        <v>5</v>
      </c>
      <c r="T12" s="458"/>
      <c r="U12" s="465"/>
      <c r="V12" s="462">
        <v>6</v>
      </c>
      <c r="W12" s="458"/>
      <c r="X12" s="463"/>
      <c r="Y12" s="464">
        <v>7</v>
      </c>
      <c r="Z12" s="458"/>
      <c r="AA12" s="465"/>
      <c r="AB12" s="462">
        <v>8</v>
      </c>
      <c r="AC12" s="458"/>
      <c r="AD12" s="463"/>
      <c r="AE12" s="464">
        <v>9</v>
      </c>
      <c r="AF12" s="458"/>
      <c r="AG12" s="465"/>
      <c r="AH12" s="462">
        <v>10</v>
      </c>
      <c r="AI12" s="458"/>
      <c r="AJ12" s="463"/>
      <c r="AK12" s="462">
        <v>11</v>
      </c>
      <c r="AL12" s="458"/>
      <c r="AM12" s="463"/>
      <c r="AN12" s="458">
        <v>12</v>
      </c>
      <c r="AO12" s="458"/>
      <c r="AP12" s="459"/>
    </row>
    <row r="13" spans="1:42" ht="19.5" customHeight="1" x14ac:dyDescent="0.15">
      <c r="B13" s="491"/>
      <c r="C13" s="460" t="s">
        <v>337</v>
      </c>
      <c r="D13" s="461"/>
      <c r="E13" s="461"/>
      <c r="F13" s="363" t="s">
        <v>401</v>
      </c>
      <c r="G13" s="105"/>
      <c r="H13" s="106"/>
      <c r="I13" s="106"/>
      <c r="J13" s="105"/>
      <c r="K13" s="106"/>
      <c r="L13" s="107"/>
      <c r="M13" s="106"/>
      <c r="N13" s="106"/>
      <c r="O13" s="330" t="s">
        <v>270</v>
      </c>
      <c r="P13" s="335"/>
      <c r="Q13" s="337" t="s">
        <v>403</v>
      </c>
      <c r="R13" s="107"/>
      <c r="S13" s="335"/>
      <c r="T13" s="337"/>
      <c r="U13" s="376"/>
      <c r="V13" s="105"/>
      <c r="W13" s="106"/>
      <c r="X13" s="107"/>
      <c r="Y13" s="400"/>
      <c r="Z13" s="398"/>
      <c r="AA13" s="399"/>
      <c r="AB13" s="400"/>
      <c r="AC13" s="106"/>
      <c r="AD13" s="107"/>
      <c r="AE13" s="105"/>
      <c r="AF13" s="106"/>
      <c r="AG13" s="107"/>
      <c r="AH13" s="105"/>
      <c r="AI13" s="106"/>
      <c r="AJ13" s="107"/>
      <c r="AK13" s="105"/>
      <c r="AL13" s="106"/>
      <c r="AM13" s="107"/>
      <c r="AN13" s="106"/>
      <c r="AO13" s="106"/>
      <c r="AP13" s="109"/>
    </row>
    <row r="14" spans="1:42" ht="19.5" customHeight="1" x14ac:dyDescent="0.15">
      <c r="B14" s="491"/>
      <c r="C14" s="466"/>
      <c r="D14" s="467"/>
      <c r="E14" s="467"/>
      <c r="F14" s="397"/>
      <c r="G14" s="385"/>
      <c r="H14" s="110"/>
      <c r="I14" s="110"/>
      <c r="J14" s="385"/>
      <c r="K14" s="110"/>
      <c r="L14" s="371"/>
      <c r="M14" s="110"/>
      <c r="N14" s="110"/>
      <c r="O14" s="112"/>
      <c r="P14" s="385"/>
      <c r="Q14" s="110"/>
      <c r="R14" s="371"/>
      <c r="S14" s="405" t="s">
        <v>271</v>
      </c>
      <c r="T14" s="372"/>
      <c r="U14" s="374" t="s">
        <v>412</v>
      </c>
      <c r="V14" s="385"/>
      <c r="W14" s="110"/>
      <c r="X14" s="371"/>
      <c r="Y14" s="401"/>
      <c r="Z14" s="402"/>
      <c r="AA14" s="403"/>
      <c r="AB14" s="404"/>
      <c r="AC14" s="110"/>
      <c r="AD14" s="371"/>
      <c r="AE14" s="385"/>
      <c r="AF14" s="110"/>
      <c r="AG14" s="371"/>
      <c r="AH14" s="385"/>
      <c r="AI14" s="110"/>
      <c r="AJ14" s="371"/>
      <c r="AK14" s="385"/>
      <c r="AL14" s="110"/>
      <c r="AM14" s="371"/>
      <c r="AN14" s="110"/>
      <c r="AO14" s="110"/>
      <c r="AP14" s="395"/>
    </row>
    <row r="15" spans="1:42" ht="19.5" customHeight="1" x14ac:dyDescent="0.15">
      <c r="B15" s="491"/>
      <c r="C15" s="468"/>
      <c r="D15" s="469"/>
      <c r="E15" s="469"/>
      <c r="F15" s="396"/>
      <c r="G15" s="365"/>
      <c r="H15" s="366"/>
      <c r="I15" s="366"/>
      <c r="J15" s="365"/>
      <c r="K15" s="366"/>
      <c r="L15" s="111"/>
      <c r="M15" s="366"/>
      <c r="N15" s="366"/>
      <c r="O15" s="367"/>
      <c r="P15" s="365"/>
      <c r="Q15" s="366"/>
      <c r="R15" s="111"/>
      <c r="S15" s="368"/>
      <c r="T15" s="366"/>
      <c r="U15" s="367"/>
      <c r="V15" s="365"/>
      <c r="W15" s="366"/>
      <c r="X15" s="111"/>
      <c r="Y15" s="331"/>
      <c r="Z15" s="332"/>
      <c r="AA15" s="333"/>
      <c r="AB15" s="334"/>
      <c r="AC15" s="366"/>
      <c r="AD15" s="111"/>
      <c r="AE15" s="365"/>
      <c r="AF15" s="366"/>
      <c r="AG15" s="111"/>
      <c r="AH15" s="365"/>
      <c r="AI15" s="366"/>
      <c r="AJ15" s="111"/>
      <c r="AK15" s="365"/>
      <c r="AL15" s="366"/>
      <c r="AM15" s="111"/>
      <c r="AN15" s="366"/>
      <c r="AO15" s="366"/>
      <c r="AP15" s="370"/>
    </row>
    <row r="16" spans="1:42" ht="19.5" customHeight="1" x14ac:dyDescent="0.15">
      <c r="B16" s="491"/>
      <c r="C16" s="460" t="s">
        <v>390</v>
      </c>
      <c r="D16" s="461"/>
      <c r="E16" s="461"/>
      <c r="F16" s="363" t="s">
        <v>402</v>
      </c>
      <c r="G16" s="346"/>
      <c r="H16" s="347"/>
      <c r="I16" s="347"/>
      <c r="J16" s="346"/>
      <c r="K16" s="347"/>
      <c r="L16" s="107"/>
      <c r="M16" s="347"/>
      <c r="N16" s="347"/>
      <c r="O16" s="108"/>
      <c r="P16" s="346"/>
      <c r="Q16" s="347"/>
      <c r="R16" s="107"/>
      <c r="S16" s="364"/>
      <c r="T16" s="337" t="s">
        <v>376</v>
      </c>
      <c r="U16" s="108"/>
      <c r="V16" s="335"/>
      <c r="W16" s="337"/>
      <c r="X16" s="107"/>
      <c r="Y16" s="364"/>
      <c r="Z16" s="337" t="s">
        <v>416</v>
      </c>
      <c r="AA16" s="330"/>
      <c r="AB16" s="335"/>
      <c r="AC16" s="337"/>
      <c r="AD16" s="107"/>
      <c r="AE16" s="346"/>
      <c r="AF16" s="347"/>
      <c r="AG16" s="107"/>
      <c r="AH16" s="346"/>
      <c r="AI16" s="347"/>
      <c r="AJ16" s="107"/>
      <c r="AK16" s="346"/>
      <c r="AL16" s="347"/>
      <c r="AM16" s="107"/>
      <c r="AN16" s="347"/>
      <c r="AO16" s="347"/>
      <c r="AP16" s="348"/>
    </row>
    <row r="17" spans="2:42" ht="19.5" customHeight="1" x14ac:dyDescent="0.15">
      <c r="B17" s="491"/>
      <c r="C17" s="466"/>
      <c r="D17" s="467"/>
      <c r="E17" s="467"/>
      <c r="F17" s="394"/>
      <c r="G17" s="385"/>
      <c r="H17" s="110"/>
      <c r="I17" s="110"/>
      <c r="J17" s="385"/>
      <c r="K17" s="110"/>
      <c r="L17" s="371"/>
      <c r="M17" s="110"/>
      <c r="N17" s="110"/>
      <c r="O17" s="112"/>
      <c r="P17" s="385"/>
      <c r="Q17" s="110"/>
      <c r="R17" s="371"/>
      <c r="S17" s="113"/>
      <c r="T17" s="372"/>
      <c r="U17" s="112"/>
      <c r="V17" s="373"/>
      <c r="W17" s="372" t="s">
        <v>427</v>
      </c>
      <c r="X17" s="371"/>
      <c r="Y17" s="113"/>
      <c r="Z17" s="372"/>
      <c r="AA17" s="374"/>
      <c r="AB17" s="373"/>
      <c r="AC17" s="372" t="s">
        <v>427</v>
      </c>
      <c r="AD17" s="110"/>
      <c r="AE17" s="385"/>
      <c r="AF17" s="110"/>
      <c r="AG17" s="371"/>
      <c r="AH17" s="385"/>
      <c r="AI17" s="110"/>
      <c r="AJ17" s="371"/>
      <c r="AK17" s="385"/>
      <c r="AL17" s="110"/>
      <c r="AM17" s="371"/>
      <c r="AN17" s="110"/>
      <c r="AO17" s="110"/>
      <c r="AP17" s="395"/>
    </row>
    <row r="18" spans="2:42" ht="19.5" customHeight="1" x14ac:dyDescent="0.15">
      <c r="B18" s="491"/>
      <c r="C18" s="468"/>
      <c r="D18" s="469"/>
      <c r="E18" s="469"/>
      <c r="F18" s="375"/>
      <c r="G18" s="365"/>
      <c r="H18" s="366"/>
      <c r="I18" s="366"/>
      <c r="J18" s="365"/>
      <c r="K18" s="366"/>
      <c r="L18" s="111"/>
      <c r="M18" s="366"/>
      <c r="N18" s="366"/>
      <c r="O18" s="367"/>
      <c r="P18" s="365"/>
      <c r="Q18" s="366"/>
      <c r="R18" s="111"/>
      <c r="S18" s="368"/>
      <c r="T18" s="366"/>
      <c r="U18" s="367"/>
      <c r="V18" s="365"/>
      <c r="W18" s="366"/>
      <c r="X18" s="111"/>
      <c r="Y18" s="368"/>
      <c r="Z18" s="366"/>
      <c r="AA18" s="367"/>
      <c r="AB18" s="365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6"/>
      <c r="AO18" s="366"/>
      <c r="AP18" s="370"/>
    </row>
    <row r="19" spans="2:42" ht="19.5" customHeight="1" x14ac:dyDescent="0.15">
      <c r="B19" s="452" t="s">
        <v>85</v>
      </c>
      <c r="C19" s="434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6"/>
    </row>
    <row r="20" spans="2:42" ht="20.100000000000001" customHeight="1" x14ac:dyDescent="0.15">
      <c r="B20" s="453"/>
      <c r="C20" s="455" t="s">
        <v>99</v>
      </c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114"/>
      <c r="W20" s="114"/>
      <c r="Y20" s="437" t="s">
        <v>116</v>
      </c>
      <c r="Z20" s="437"/>
      <c r="AA20" s="437"/>
      <c r="AB20" s="437"/>
      <c r="AC20" s="114"/>
      <c r="AD20" s="114"/>
      <c r="AI20" s="114"/>
      <c r="AJ20" s="114"/>
      <c r="AK20" s="114"/>
      <c r="AL20" s="114"/>
      <c r="AM20" s="114"/>
      <c r="AN20" s="114"/>
      <c r="AO20" s="114"/>
      <c r="AP20" s="115"/>
    </row>
    <row r="21" spans="2:42" ht="20.100000000000001" customHeight="1" thickBot="1" x14ac:dyDescent="0.2">
      <c r="B21" s="454"/>
      <c r="C21" s="438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40"/>
    </row>
    <row r="22" spans="2:42" ht="9.9499999999999993" customHeight="1" x14ac:dyDescent="0.15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</row>
    <row r="23" spans="2:42" ht="24.95" customHeight="1" thickBot="1" x14ac:dyDescent="0.2">
      <c r="B23" s="93" t="s">
        <v>117</v>
      </c>
    </row>
    <row r="24" spans="2:42" ht="20.100000000000001" customHeight="1" thickBot="1" x14ac:dyDescent="0.2">
      <c r="B24" s="441" t="s">
        <v>18</v>
      </c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3"/>
      <c r="O24" s="444" t="s">
        <v>17</v>
      </c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6"/>
    </row>
    <row r="25" spans="2:42" ht="39.950000000000003" customHeight="1" x14ac:dyDescent="0.15">
      <c r="B25" s="447" t="s">
        <v>13</v>
      </c>
      <c r="C25" s="448"/>
      <c r="D25" s="448"/>
      <c r="E25" s="449" t="s">
        <v>274</v>
      </c>
      <c r="F25" s="450"/>
      <c r="G25" s="450"/>
      <c r="H25" s="450"/>
      <c r="I25" s="450"/>
      <c r="J25" s="450"/>
      <c r="K25" s="450"/>
      <c r="L25" s="450"/>
      <c r="M25" s="450"/>
      <c r="N25" s="451"/>
      <c r="O25" s="457" t="s">
        <v>10</v>
      </c>
      <c r="P25" s="448"/>
      <c r="Q25" s="448"/>
      <c r="R25" s="448"/>
      <c r="S25" s="448"/>
      <c r="T25" s="431" t="s">
        <v>391</v>
      </c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3"/>
    </row>
    <row r="26" spans="2:42" ht="39.950000000000003" customHeight="1" x14ac:dyDescent="0.15">
      <c r="B26" s="419" t="s">
        <v>14</v>
      </c>
      <c r="C26" s="420"/>
      <c r="D26" s="420"/>
      <c r="E26" s="428" t="s">
        <v>409</v>
      </c>
      <c r="F26" s="429"/>
      <c r="G26" s="429"/>
      <c r="H26" s="429"/>
      <c r="I26" s="429"/>
      <c r="J26" s="429"/>
      <c r="K26" s="429"/>
      <c r="L26" s="429"/>
      <c r="M26" s="429"/>
      <c r="N26" s="430"/>
      <c r="O26" s="421" t="s">
        <v>11</v>
      </c>
      <c r="P26" s="420"/>
      <c r="Q26" s="420"/>
      <c r="R26" s="420"/>
      <c r="S26" s="420"/>
      <c r="T26" s="416" t="s">
        <v>275</v>
      </c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8"/>
    </row>
    <row r="27" spans="2:42" ht="49.5" customHeight="1" x14ac:dyDescent="0.15">
      <c r="B27" s="419" t="s">
        <v>15</v>
      </c>
      <c r="C27" s="420"/>
      <c r="D27" s="420"/>
      <c r="E27" s="416" t="s">
        <v>273</v>
      </c>
      <c r="F27" s="417"/>
      <c r="G27" s="417"/>
      <c r="H27" s="417"/>
      <c r="I27" s="417"/>
      <c r="J27" s="417"/>
      <c r="K27" s="417"/>
      <c r="L27" s="417"/>
      <c r="M27" s="417"/>
      <c r="N27" s="418"/>
      <c r="O27" s="421" t="s">
        <v>12</v>
      </c>
      <c r="P27" s="420"/>
      <c r="Q27" s="420"/>
      <c r="R27" s="420"/>
      <c r="S27" s="420"/>
      <c r="T27" s="416" t="s">
        <v>426</v>
      </c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8"/>
    </row>
    <row r="28" spans="2:42" ht="39.950000000000003" customHeight="1" thickBot="1" x14ac:dyDescent="0.2">
      <c r="B28" s="426" t="s">
        <v>16</v>
      </c>
      <c r="C28" s="423"/>
      <c r="D28" s="423"/>
      <c r="E28" s="427" t="s">
        <v>272</v>
      </c>
      <c r="F28" s="424"/>
      <c r="G28" s="424"/>
      <c r="H28" s="424"/>
      <c r="I28" s="424"/>
      <c r="J28" s="424"/>
      <c r="K28" s="424"/>
      <c r="L28" s="424"/>
      <c r="M28" s="424"/>
      <c r="N28" s="425"/>
      <c r="O28" s="422"/>
      <c r="P28" s="423"/>
      <c r="Q28" s="423"/>
      <c r="R28" s="423"/>
      <c r="S28" s="423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5"/>
    </row>
    <row r="29" spans="2:42" ht="9.75" customHeight="1" x14ac:dyDescent="0.15">
      <c r="B29" s="100"/>
    </row>
  </sheetData>
  <mergeCells count="85"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8"/>
    <mergeCell ref="C18:E18"/>
    <mergeCell ref="C17:E17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6:E16"/>
    <mergeCell ref="AB12:AD12"/>
    <mergeCell ref="AE12:AG12"/>
    <mergeCell ref="C14:E14"/>
    <mergeCell ref="C15:E15"/>
    <mergeCell ref="T25:AP25"/>
    <mergeCell ref="C19:AP19"/>
    <mergeCell ref="Y20:AB20"/>
    <mergeCell ref="C21:AP21"/>
    <mergeCell ref="B24:N24"/>
    <mergeCell ref="O24:AP24"/>
    <mergeCell ref="B25:D25"/>
    <mergeCell ref="E25:N25"/>
    <mergeCell ref="B19:B21"/>
    <mergeCell ref="C20:U20"/>
    <mergeCell ref="O25:S25"/>
    <mergeCell ref="T26:AP26"/>
    <mergeCell ref="B27:D27"/>
    <mergeCell ref="E27:N27"/>
    <mergeCell ref="O27:S28"/>
    <mergeCell ref="T27:AP28"/>
    <mergeCell ref="B28:D28"/>
    <mergeCell ref="E28:N28"/>
    <mergeCell ref="B26:D26"/>
    <mergeCell ref="E26:N26"/>
    <mergeCell ref="O26:S2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zoomScale="75" zoomScaleNormal="75" zoomScaleSheetLayoutView="80" workbookViewId="0"/>
  </sheetViews>
  <sheetFormatPr defaultRowHeight="13.5" x14ac:dyDescent="0.15"/>
  <cols>
    <col min="1" max="1" width="1.625" style="93" customWidth="1"/>
    <col min="2" max="2" width="7.625" style="93" customWidth="1"/>
    <col min="3" max="3" width="25.625" style="93" customWidth="1"/>
    <col min="4" max="11" width="21.75" style="93" customWidth="1"/>
    <col min="12" max="16384" width="9" style="93"/>
  </cols>
  <sheetData>
    <row r="1" spans="2:11" ht="9.9499999999999993" customHeight="1" x14ac:dyDescent="0.15"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2:11" ht="24.95" customHeight="1" thickBot="1" x14ac:dyDescent="0.2">
      <c r="B2" s="310" t="s">
        <v>277</v>
      </c>
      <c r="F2" s="311" t="s">
        <v>245</v>
      </c>
      <c r="G2" s="310" t="s">
        <v>276</v>
      </c>
      <c r="I2" s="311" t="s">
        <v>246</v>
      </c>
      <c r="J2" s="310" t="s">
        <v>394</v>
      </c>
    </row>
    <row r="3" spans="2:11" ht="20.100000000000001" customHeight="1" x14ac:dyDescent="0.15">
      <c r="B3" s="524" t="s">
        <v>110</v>
      </c>
      <c r="C3" s="525"/>
      <c r="D3" s="94" t="s">
        <v>280</v>
      </c>
      <c r="E3" s="94" t="s">
        <v>281</v>
      </c>
      <c r="F3" s="94" t="s">
        <v>282</v>
      </c>
      <c r="G3" s="94" t="s">
        <v>283</v>
      </c>
      <c r="H3" s="94" t="s">
        <v>284</v>
      </c>
      <c r="I3" s="94" t="s">
        <v>285</v>
      </c>
      <c r="J3" s="94" t="s">
        <v>286</v>
      </c>
      <c r="K3" s="382" t="s">
        <v>377</v>
      </c>
    </row>
    <row r="4" spans="2:11" ht="150" customHeight="1" x14ac:dyDescent="0.15">
      <c r="B4" s="522" t="s">
        <v>101</v>
      </c>
      <c r="C4" s="95" t="s">
        <v>102</v>
      </c>
      <c r="D4" s="406" t="s">
        <v>429</v>
      </c>
      <c r="E4" s="406" t="s">
        <v>430</v>
      </c>
      <c r="F4" s="406" t="s">
        <v>431</v>
      </c>
      <c r="G4" s="406" t="s">
        <v>432</v>
      </c>
      <c r="H4" s="406" t="s">
        <v>433</v>
      </c>
      <c r="I4" s="406" t="s">
        <v>434</v>
      </c>
      <c r="J4" s="406" t="s">
        <v>435</v>
      </c>
      <c r="K4" s="407" t="s">
        <v>436</v>
      </c>
    </row>
    <row r="5" spans="2:11" ht="20.100000000000001" customHeight="1" x14ac:dyDescent="0.15">
      <c r="B5" s="522"/>
      <c r="C5" s="530" t="s">
        <v>103</v>
      </c>
      <c r="D5" s="362" t="s">
        <v>410</v>
      </c>
      <c r="E5" s="362" t="s">
        <v>415</v>
      </c>
      <c r="F5" s="362" t="s">
        <v>413</v>
      </c>
      <c r="G5" s="362" t="s">
        <v>418</v>
      </c>
      <c r="H5" s="95" t="s">
        <v>413</v>
      </c>
      <c r="I5" s="95" t="s">
        <v>420</v>
      </c>
      <c r="J5" s="95" t="s">
        <v>422</v>
      </c>
      <c r="K5" s="360" t="s">
        <v>425</v>
      </c>
    </row>
    <row r="6" spans="2:11" ht="20.100000000000001" customHeight="1" x14ac:dyDescent="0.15">
      <c r="B6" s="523"/>
      <c r="C6" s="531"/>
      <c r="D6" s="381" t="s">
        <v>417</v>
      </c>
      <c r="E6" s="381" t="s">
        <v>411</v>
      </c>
      <c r="F6" s="381" t="s">
        <v>414</v>
      </c>
      <c r="G6" s="381" t="s">
        <v>419</v>
      </c>
      <c r="H6" s="359" t="s">
        <v>414</v>
      </c>
      <c r="I6" s="359" t="s">
        <v>421</v>
      </c>
      <c r="J6" s="359" t="s">
        <v>423</v>
      </c>
      <c r="K6" s="360" t="s">
        <v>424</v>
      </c>
    </row>
    <row r="7" spans="2:11" ht="150" customHeight="1" x14ac:dyDescent="0.15">
      <c r="B7" s="522"/>
      <c r="C7" s="95" t="s">
        <v>109</v>
      </c>
      <c r="D7" s="361" t="s">
        <v>380</v>
      </c>
      <c r="E7" s="98" t="s">
        <v>54</v>
      </c>
      <c r="F7" s="98" t="s">
        <v>278</v>
      </c>
      <c r="G7" s="361" t="s">
        <v>379</v>
      </c>
      <c r="H7" s="96" t="s">
        <v>279</v>
      </c>
      <c r="I7" s="96" t="s">
        <v>379</v>
      </c>
      <c r="J7" s="96" t="s">
        <v>397</v>
      </c>
      <c r="K7" s="383" t="s">
        <v>53</v>
      </c>
    </row>
    <row r="8" spans="2:11" ht="20.100000000000001" customHeight="1" x14ac:dyDescent="0.15">
      <c r="B8" s="522"/>
      <c r="C8" s="99" t="s">
        <v>106</v>
      </c>
      <c r="D8" s="97">
        <v>0.17</v>
      </c>
      <c r="E8" s="97"/>
      <c r="F8" s="97">
        <v>1.68</v>
      </c>
      <c r="G8" s="97">
        <v>0.21</v>
      </c>
      <c r="H8" s="95">
        <v>1.5</v>
      </c>
      <c r="I8" s="95">
        <v>2.2999999999999998</v>
      </c>
      <c r="J8" s="95">
        <v>33.6</v>
      </c>
      <c r="K8" s="360">
        <v>3</v>
      </c>
    </row>
    <row r="9" spans="2:11" ht="20.100000000000001" customHeight="1" x14ac:dyDescent="0.15">
      <c r="B9" s="522"/>
      <c r="C9" s="97" t="s">
        <v>107</v>
      </c>
      <c r="D9" s="97">
        <v>1.5</v>
      </c>
      <c r="E9" s="97">
        <v>2.4</v>
      </c>
      <c r="F9" s="97">
        <v>2</v>
      </c>
      <c r="G9" s="97">
        <v>0.65</v>
      </c>
      <c r="H9" s="95">
        <v>2.9</v>
      </c>
      <c r="I9" s="95">
        <v>2.2999999999999998</v>
      </c>
      <c r="J9" s="95">
        <v>65.400000000000006</v>
      </c>
      <c r="K9" s="360">
        <v>3</v>
      </c>
    </row>
    <row r="10" spans="2:11" ht="20.100000000000001" customHeight="1" x14ac:dyDescent="0.15">
      <c r="B10" s="522"/>
      <c r="C10" s="95" t="s">
        <v>108</v>
      </c>
      <c r="D10" s="95"/>
      <c r="E10" s="95"/>
      <c r="F10" s="95"/>
      <c r="G10" s="95"/>
      <c r="H10" s="95">
        <v>2</v>
      </c>
      <c r="I10" s="95"/>
      <c r="J10" s="95">
        <v>5</v>
      </c>
      <c r="K10" s="360"/>
    </row>
    <row r="11" spans="2:11" ht="150" customHeight="1" x14ac:dyDescent="0.15">
      <c r="B11" s="528" t="s">
        <v>104</v>
      </c>
      <c r="C11" s="529"/>
      <c r="D11" s="96" t="s">
        <v>399</v>
      </c>
      <c r="E11" s="96"/>
      <c r="F11" s="96" t="s">
        <v>378</v>
      </c>
      <c r="G11" s="98" t="s">
        <v>287</v>
      </c>
      <c r="H11" s="98" t="s">
        <v>288</v>
      </c>
      <c r="I11" s="361" t="s">
        <v>398</v>
      </c>
      <c r="J11" s="98" t="s">
        <v>289</v>
      </c>
      <c r="K11" s="384"/>
    </row>
    <row r="12" spans="2:11" ht="150" customHeight="1" thickBot="1" x14ac:dyDescent="0.2">
      <c r="B12" s="526" t="s">
        <v>105</v>
      </c>
      <c r="C12" s="527"/>
      <c r="D12" s="408" t="s">
        <v>437</v>
      </c>
      <c r="E12" s="408" t="s">
        <v>438</v>
      </c>
      <c r="F12" s="408"/>
      <c r="G12" s="409" t="s">
        <v>439</v>
      </c>
      <c r="H12" s="410"/>
      <c r="I12" s="409" t="s">
        <v>440</v>
      </c>
      <c r="J12" s="409" t="s">
        <v>441</v>
      </c>
      <c r="K12" s="411"/>
    </row>
    <row r="13" spans="2:11" ht="9.75" customHeight="1" x14ac:dyDescent="0.15">
      <c r="B13" s="100"/>
    </row>
  </sheetData>
  <mergeCells count="5">
    <mergeCell ref="B4:B10"/>
    <mergeCell ref="B3:C3"/>
    <mergeCell ref="B12:C12"/>
    <mergeCell ref="B11:C11"/>
    <mergeCell ref="C5:C6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zoomScale="75" zoomScaleNormal="75" zoomScaleSheetLayoutView="85" workbookViewId="0"/>
  </sheetViews>
  <sheetFormatPr defaultRowHeight="13.5" x14ac:dyDescent="0.15"/>
  <cols>
    <col min="1" max="1" width="1.625" style="8" customWidth="1"/>
    <col min="2" max="2" width="7.625" style="8" customWidth="1"/>
    <col min="3" max="3" width="15.625" style="8" customWidth="1"/>
    <col min="4" max="7" width="20.625" style="8" customWidth="1"/>
    <col min="8" max="8" width="84.625" style="8" customWidth="1"/>
    <col min="9" max="9" width="9.25" style="8" bestFit="1" customWidth="1"/>
    <col min="10" max="16384" width="9" style="8"/>
  </cols>
  <sheetData>
    <row r="1" spans="2:8" ht="9.9499999999999993" customHeight="1" x14ac:dyDescent="0.15"/>
    <row r="2" spans="2:8" ht="24.95" customHeight="1" thickBot="1" x14ac:dyDescent="0.2">
      <c r="B2" s="9" t="s">
        <v>100</v>
      </c>
      <c r="C2" s="10"/>
      <c r="D2" s="10"/>
      <c r="G2" s="11"/>
      <c r="H2" s="11"/>
    </row>
    <row r="3" spans="2:8" ht="20.100000000000001" customHeight="1" x14ac:dyDescent="0.15">
      <c r="B3" s="532" t="s">
        <v>257</v>
      </c>
      <c r="C3" s="533"/>
      <c r="D3" s="533"/>
      <c r="E3" s="533"/>
      <c r="F3" s="12" t="s">
        <v>258</v>
      </c>
      <c r="G3" s="13" t="s">
        <v>291</v>
      </c>
      <c r="H3" s="536" t="s">
        <v>256</v>
      </c>
    </row>
    <row r="4" spans="2:8" ht="20.100000000000001" customHeight="1" thickBot="1" x14ac:dyDescent="0.2">
      <c r="B4" s="534"/>
      <c r="C4" s="535"/>
      <c r="D4" s="535"/>
      <c r="E4" s="535"/>
      <c r="F4" s="14"/>
      <c r="G4" s="15">
        <v>10</v>
      </c>
      <c r="H4" s="537"/>
    </row>
    <row r="5" spans="2:8" ht="20.100000000000001" customHeight="1" x14ac:dyDescent="0.15">
      <c r="B5" s="538" t="s">
        <v>88</v>
      </c>
      <c r="C5" s="541" t="s">
        <v>55</v>
      </c>
      <c r="D5" s="16" t="s">
        <v>208</v>
      </c>
      <c r="E5" s="17"/>
      <c r="F5" s="18">
        <f>G5</f>
        <v>41433000</v>
      </c>
      <c r="G5" s="309">
        <f>'７　キャベツ収支'!F4*G$4</f>
        <v>41433000</v>
      </c>
      <c r="H5" s="19"/>
    </row>
    <row r="6" spans="2:8" ht="20.100000000000001" customHeight="1" x14ac:dyDescent="0.15">
      <c r="B6" s="539"/>
      <c r="C6" s="542"/>
      <c r="D6" s="20" t="s">
        <v>89</v>
      </c>
      <c r="E6" s="21"/>
      <c r="F6" s="22">
        <f t="shared" ref="F6:F32" si="0">G6</f>
        <v>0</v>
      </c>
      <c r="G6" s="26">
        <f>'７　キャベツ収支'!F5*G$4</f>
        <v>0</v>
      </c>
      <c r="H6" s="23"/>
    </row>
    <row r="7" spans="2:8" ht="20.100000000000001" customHeight="1" x14ac:dyDescent="0.15">
      <c r="B7" s="539"/>
      <c r="C7" s="543"/>
      <c r="D7" s="544" t="s">
        <v>196</v>
      </c>
      <c r="E7" s="545"/>
      <c r="F7" s="24">
        <f t="shared" si="0"/>
        <v>41433000</v>
      </c>
      <c r="G7" s="25">
        <f>G5+G6</f>
        <v>41433000</v>
      </c>
      <c r="H7" s="23"/>
    </row>
    <row r="8" spans="2:8" ht="20.100000000000001" customHeight="1" x14ac:dyDescent="0.15">
      <c r="B8" s="539"/>
      <c r="C8" s="546" t="s">
        <v>199</v>
      </c>
      <c r="D8" s="20" t="s">
        <v>56</v>
      </c>
      <c r="E8" s="21"/>
      <c r="F8" s="22">
        <f t="shared" si="0"/>
        <v>952400</v>
      </c>
      <c r="G8" s="26">
        <f>'７　キャベツ収支'!F6*G$4</f>
        <v>952400</v>
      </c>
      <c r="H8" s="23"/>
    </row>
    <row r="9" spans="2:8" ht="20.100000000000001" customHeight="1" x14ac:dyDescent="0.15">
      <c r="B9" s="539"/>
      <c r="C9" s="547"/>
      <c r="D9" s="20" t="s">
        <v>57</v>
      </c>
      <c r="E9" s="21"/>
      <c r="F9" s="22">
        <f t="shared" si="0"/>
        <v>4151500</v>
      </c>
      <c r="G9" s="26">
        <f>'７　キャベツ収支'!F7*G$4</f>
        <v>4151500</v>
      </c>
      <c r="H9" s="23"/>
    </row>
    <row r="10" spans="2:8" ht="20.100000000000001" customHeight="1" x14ac:dyDescent="0.15">
      <c r="B10" s="539"/>
      <c r="C10" s="547"/>
      <c r="D10" s="20" t="s">
        <v>58</v>
      </c>
      <c r="E10" s="21"/>
      <c r="F10" s="22">
        <f t="shared" si="0"/>
        <v>2061664</v>
      </c>
      <c r="G10" s="26">
        <f>'７　キャベツ収支'!F8*G$4</f>
        <v>2061664</v>
      </c>
      <c r="H10" s="23"/>
    </row>
    <row r="11" spans="2:8" ht="20.100000000000001" customHeight="1" x14ac:dyDescent="0.15">
      <c r="B11" s="539"/>
      <c r="C11" s="547"/>
      <c r="D11" s="20" t="s">
        <v>90</v>
      </c>
      <c r="E11" s="21"/>
      <c r="F11" s="22">
        <f t="shared" si="0"/>
        <v>200146.94699999999</v>
      </c>
      <c r="G11" s="26">
        <f>'７　キャベツ収支'!F9*G$4</f>
        <v>200146.94699999999</v>
      </c>
      <c r="H11" s="23"/>
    </row>
    <row r="12" spans="2:8" ht="20.100000000000001" customHeight="1" x14ac:dyDescent="0.15">
      <c r="B12" s="539"/>
      <c r="C12" s="547"/>
      <c r="D12" s="20" t="s">
        <v>59</v>
      </c>
      <c r="E12" s="21"/>
      <c r="F12" s="22">
        <f t="shared" si="0"/>
        <v>1461828.5714285714</v>
      </c>
      <c r="G12" s="26">
        <f>'７　キャベツ収支'!F10*G$4</f>
        <v>1461828.5714285714</v>
      </c>
      <c r="H12" s="23"/>
    </row>
    <row r="13" spans="2:8" ht="20.100000000000001" customHeight="1" x14ac:dyDescent="0.15">
      <c r="B13" s="539"/>
      <c r="C13" s="547"/>
      <c r="D13" s="20" t="s">
        <v>6</v>
      </c>
      <c r="E13" s="21"/>
      <c r="F13" s="22">
        <f t="shared" si="0"/>
        <v>12142.857142857141</v>
      </c>
      <c r="G13" s="26">
        <f>'７　キャベツ収支'!F11*G$4</f>
        <v>12142.857142857141</v>
      </c>
      <c r="H13" s="23"/>
    </row>
    <row r="14" spans="2:8" ht="20.100000000000001" customHeight="1" x14ac:dyDescent="0.15">
      <c r="B14" s="539"/>
      <c r="C14" s="547"/>
      <c r="D14" s="20" t="s">
        <v>7</v>
      </c>
      <c r="E14" s="21"/>
      <c r="F14" s="26">
        <f t="shared" si="0"/>
        <v>0</v>
      </c>
      <c r="G14" s="26">
        <f>'７　キャベツ収支'!F12*G$4</f>
        <v>0</v>
      </c>
      <c r="H14" s="23"/>
    </row>
    <row r="15" spans="2:8" ht="20.100000000000001" customHeight="1" x14ac:dyDescent="0.15">
      <c r="B15" s="539"/>
      <c r="C15" s="547"/>
      <c r="D15" s="549" t="s">
        <v>60</v>
      </c>
      <c r="E15" s="27" t="s">
        <v>189</v>
      </c>
      <c r="F15" s="26">
        <f t="shared" si="0"/>
        <v>89400</v>
      </c>
      <c r="G15" s="26">
        <f>'７　キャベツ収支'!F13*G$4</f>
        <v>89400</v>
      </c>
      <c r="H15" s="23"/>
    </row>
    <row r="16" spans="2:8" ht="20.100000000000001" customHeight="1" x14ac:dyDescent="0.15">
      <c r="B16" s="539"/>
      <c r="C16" s="547"/>
      <c r="D16" s="550"/>
      <c r="E16" s="27" t="s">
        <v>190</v>
      </c>
      <c r="F16" s="26">
        <f t="shared" si="0"/>
        <v>662924.375</v>
      </c>
      <c r="G16" s="26">
        <f>'７　キャベツ収支'!F14*G$4</f>
        <v>662924.375</v>
      </c>
      <c r="H16" s="23"/>
    </row>
    <row r="17" spans="2:8" ht="20.100000000000001" customHeight="1" x14ac:dyDescent="0.15">
      <c r="B17" s="539"/>
      <c r="C17" s="547"/>
      <c r="D17" s="551" t="s">
        <v>91</v>
      </c>
      <c r="E17" s="27" t="s">
        <v>189</v>
      </c>
      <c r="F17" s="26">
        <f t="shared" si="0"/>
        <v>537600</v>
      </c>
      <c r="G17" s="26">
        <f>'７　キャベツ収支'!F15*G$4</f>
        <v>537600</v>
      </c>
      <c r="H17" s="23"/>
    </row>
    <row r="18" spans="2:8" ht="20.100000000000001" customHeight="1" x14ac:dyDescent="0.15">
      <c r="B18" s="539"/>
      <c r="C18" s="547"/>
      <c r="D18" s="552"/>
      <c r="E18" s="27" t="s">
        <v>190</v>
      </c>
      <c r="F18" s="26">
        <f t="shared" si="0"/>
        <v>2429783.9285714282</v>
      </c>
      <c r="G18" s="26">
        <f>'７　キャベツ収支'!F16*G$4</f>
        <v>2429783.9285714282</v>
      </c>
      <c r="H18" s="23"/>
    </row>
    <row r="19" spans="2:8" ht="20.100000000000001" customHeight="1" x14ac:dyDescent="0.15">
      <c r="B19" s="539"/>
      <c r="C19" s="547"/>
      <c r="D19" s="550"/>
      <c r="E19" s="30" t="s">
        <v>61</v>
      </c>
      <c r="F19" s="26">
        <f t="shared" si="0"/>
        <v>0</v>
      </c>
      <c r="G19" s="26">
        <f>'７　キャベツ収支'!F17*G$4</f>
        <v>0</v>
      </c>
      <c r="H19" s="23"/>
    </row>
    <row r="20" spans="2:8" ht="20.100000000000001" customHeight="1" x14ac:dyDescent="0.15">
      <c r="B20" s="539"/>
      <c r="C20" s="547"/>
      <c r="D20" s="553" t="s">
        <v>253</v>
      </c>
      <c r="E20" s="30" t="s">
        <v>122</v>
      </c>
      <c r="F20" s="26">
        <f t="shared" si="0"/>
        <v>5000000</v>
      </c>
      <c r="G20" s="26">
        <f>'７　キャベツ収支'!F18*G$4</f>
        <v>5000000</v>
      </c>
      <c r="H20" s="23" t="s">
        <v>442</v>
      </c>
    </row>
    <row r="21" spans="2:8" ht="20.100000000000001" customHeight="1" x14ac:dyDescent="0.15">
      <c r="B21" s="539"/>
      <c r="C21" s="547"/>
      <c r="D21" s="553"/>
      <c r="E21" s="30" t="s">
        <v>118</v>
      </c>
      <c r="F21" s="26">
        <f t="shared" si="0"/>
        <v>0</v>
      </c>
      <c r="G21" s="26">
        <f>'７　キャベツ収支'!F19*G$4</f>
        <v>0</v>
      </c>
      <c r="H21" s="23"/>
    </row>
    <row r="22" spans="2:8" ht="20.100000000000001" customHeight="1" x14ac:dyDescent="0.15">
      <c r="B22" s="539"/>
      <c r="C22" s="547"/>
      <c r="D22" s="553"/>
      <c r="E22" s="30" t="s">
        <v>119</v>
      </c>
      <c r="F22" s="26">
        <f t="shared" si="0"/>
        <v>5413500</v>
      </c>
      <c r="G22" s="26">
        <f>'７　キャベツ収支'!F20*G$4</f>
        <v>5413500</v>
      </c>
      <c r="H22" s="23"/>
    </row>
    <row r="23" spans="2:8" ht="20.100000000000001" customHeight="1" x14ac:dyDescent="0.15">
      <c r="B23" s="539"/>
      <c r="C23" s="547"/>
      <c r="D23" s="553"/>
      <c r="E23" s="191" t="s">
        <v>121</v>
      </c>
      <c r="F23" s="26">
        <f t="shared" si="0"/>
        <v>124962</v>
      </c>
      <c r="G23" s="26">
        <f>'７　キャベツ収支'!F21*G$4</f>
        <v>124962</v>
      </c>
      <c r="H23" s="23"/>
    </row>
    <row r="24" spans="2:8" ht="20.100000000000001" customHeight="1" x14ac:dyDescent="0.15">
      <c r="B24" s="539"/>
      <c r="C24" s="547"/>
      <c r="D24" s="551" t="s">
        <v>62</v>
      </c>
      <c r="E24" s="21" t="s">
        <v>63</v>
      </c>
      <c r="F24" s="26">
        <f t="shared" si="0"/>
        <v>0</v>
      </c>
      <c r="G24" s="26">
        <f>'７　キャベツ収支'!F22*G$4</f>
        <v>0</v>
      </c>
      <c r="H24" s="23"/>
    </row>
    <row r="25" spans="2:8" ht="20.100000000000001" customHeight="1" x14ac:dyDescent="0.15">
      <c r="B25" s="539"/>
      <c r="C25" s="547"/>
      <c r="D25" s="550"/>
      <c r="E25" s="21" t="s">
        <v>92</v>
      </c>
      <c r="F25" s="22">
        <f t="shared" si="0"/>
        <v>0</v>
      </c>
      <c r="G25" s="26">
        <f>'７　キャベツ収支'!F23*G$4</f>
        <v>0</v>
      </c>
      <c r="H25" s="23"/>
    </row>
    <row r="26" spans="2:8" ht="20.100000000000001" customHeight="1" x14ac:dyDescent="0.15">
      <c r="B26" s="539"/>
      <c r="C26" s="547"/>
      <c r="D26" s="20" t="s">
        <v>64</v>
      </c>
      <c r="E26" s="21"/>
      <c r="F26" s="22">
        <f t="shared" si="0"/>
        <v>3000000</v>
      </c>
      <c r="G26" s="26">
        <f>'７　キャベツ収支'!F24*G$4</f>
        <v>3000000</v>
      </c>
      <c r="H26" s="23"/>
    </row>
    <row r="27" spans="2:8" ht="20.100000000000001" customHeight="1" x14ac:dyDescent="0.15">
      <c r="B27" s="539"/>
      <c r="C27" s="547"/>
      <c r="D27" s="20" t="s">
        <v>164</v>
      </c>
      <c r="E27" s="21"/>
      <c r="F27" s="22">
        <f t="shared" si="0"/>
        <v>263614.67352669558</v>
      </c>
      <c r="G27" s="26">
        <f>'７　キャベツ収支'!F25*G$4</f>
        <v>263614.67352669558</v>
      </c>
      <c r="H27" s="23"/>
    </row>
    <row r="28" spans="2:8" ht="20.100000000000001" customHeight="1" x14ac:dyDescent="0.15">
      <c r="B28" s="539"/>
      <c r="C28" s="548"/>
      <c r="D28" s="554" t="s">
        <v>200</v>
      </c>
      <c r="E28" s="555"/>
      <c r="F28" s="28">
        <f>SUM(F8:F27)</f>
        <v>26361467.352669552</v>
      </c>
      <c r="G28" s="28">
        <f>SUM(G8:G27)</f>
        <v>26361467.352669552</v>
      </c>
      <c r="H28" s="23"/>
    </row>
    <row r="29" spans="2:8" ht="20.100000000000001" customHeight="1" x14ac:dyDescent="0.15">
      <c r="B29" s="539"/>
      <c r="C29" s="544" t="s">
        <v>197</v>
      </c>
      <c r="D29" s="556"/>
      <c r="E29" s="545"/>
      <c r="F29" s="24">
        <f t="shared" si="0"/>
        <v>15071532.647330448</v>
      </c>
      <c r="G29" s="24">
        <f>G7-G28</f>
        <v>15071532.647330448</v>
      </c>
      <c r="H29" s="23"/>
    </row>
    <row r="30" spans="2:8" ht="20.100000000000001" customHeight="1" x14ac:dyDescent="0.15">
      <c r="B30" s="539"/>
      <c r="C30" s="557" t="s">
        <v>194</v>
      </c>
      <c r="D30" s="560" t="s">
        <v>65</v>
      </c>
      <c r="E30" s="41" t="s">
        <v>3</v>
      </c>
      <c r="F30" s="29">
        <f t="shared" si="0"/>
        <v>4214000</v>
      </c>
      <c r="G30" s="26">
        <f>'７　キャベツ収支'!F27*G$4</f>
        <v>4214000</v>
      </c>
      <c r="H30" s="23"/>
    </row>
    <row r="31" spans="2:8" ht="20.100000000000001" customHeight="1" x14ac:dyDescent="0.15">
      <c r="B31" s="539"/>
      <c r="C31" s="558"/>
      <c r="D31" s="561"/>
      <c r="E31" s="41" t="s">
        <v>4</v>
      </c>
      <c r="F31" s="29">
        <f t="shared" si="0"/>
        <v>3430000</v>
      </c>
      <c r="G31" s="26">
        <f>'７　キャベツ収支'!F28*G$4</f>
        <v>3430000</v>
      </c>
      <c r="H31" s="23"/>
    </row>
    <row r="32" spans="2:8" ht="20.100000000000001" customHeight="1" x14ac:dyDescent="0.15">
      <c r="B32" s="539"/>
      <c r="C32" s="558"/>
      <c r="D32" s="562"/>
      <c r="E32" s="41" t="s">
        <v>8</v>
      </c>
      <c r="F32" s="29">
        <f t="shared" si="0"/>
        <v>5179125</v>
      </c>
      <c r="G32" s="26">
        <f>'７　キャベツ収支'!F29*G$4</f>
        <v>5179125</v>
      </c>
      <c r="H32" s="23"/>
    </row>
    <row r="33" spans="2:8" ht="20.100000000000001" customHeight="1" x14ac:dyDescent="0.15">
      <c r="B33" s="539"/>
      <c r="C33" s="558"/>
      <c r="D33" s="41" t="s">
        <v>66</v>
      </c>
      <c r="E33" s="42"/>
      <c r="F33" s="22">
        <v>0</v>
      </c>
      <c r="G33" s="26">
        <f>G$7/$F$7*$F33</f>
        <v>0</v>
      </c>
      <c r="H33" s="23"/>
    </row>
    <row r="34" spans="2:8" ht="20.100000000000001" customHeight="1" x14ac:dyDescent="0.15">
      <c r="B34" s="539"/>
      <c r="C34" s="558"/>
      <c r="D34" s="565" t="s">
        <v>254</v>
      </c>
      <c r="E34" s="30" t="s">
        <v>122</v>
      </c>
      <c r="F34" s="29">
        <v>0</v>
      </c>
      <c r="G34" s="26">
        <f>G$7/$F$7*$F34</f>
        <v>0</v>
      </c>
      <c r="H34" s="23"/>
    </row>
    <row r="35" spans="2:8" ht="20.100000000000001" customHeight="1" x14ac:dyDescent="0.15">
      <c r="B35" s="539"/>
      <c r="C35" s="558"/>
      <c r="D35" s="565"/>
      <c r="E35" s="30" t="s">
        <v>121</v>
      </c>
      <c r="F35" s="29">
        <v>0</v>
      </c>
      <c r="G35" s="26">
        <f t="shared" ref="G35:G37" si="1">G$7/$F$7*$F35</f>
        <v>0</v>
      </c>
      <c r="H35" s="23"/>
    </row>
    <row r="36" spans="2:8" ht="20.100000000000001" customHeight="1" x14ac:dyDescent="0.15">
      <c r="B36" s="539"/>
      <c r="C36" s="558"/>
      <c r="D36" s="41" t="s">
        <v>67</v>
      </c>
      <c r="E36" s="42"/>
      <c r="F36" s="22">
        <v>0</v>
      </c>
      <c r="G36" s="26">
        <f t="shared" si="1"/>
        <v>0</v>
      </c>
      <c r="H36" s="23"/>
    </row>
    <row r="37" spans="2:8" ht="20.100000000000001" customHeight="1" x14ac:dyDescent="0.15">
      <c r="B37" s="539"/>
      <c r="C37" s="558"/>
      <c r="D37" s="41" t="s">
        <v>93</v>
      </c>
      <c r="E37" s="42"/>
      <c r="F37" s="22">
        <v>0</v>
      </c>
      <c r="G37" s="26">
        <f t="shared" si="1"/>
        <v>0</v>
      </c>
      <c r="H37" s="23"/>
    </row>
    <row r="38" spans="2:8" ht="20.100000000000001" customHeight="1" x14ac:dyDescent="0.15">
      <c r="B38" s="539"/>
      <c r="C38" s="558"/>
      <c r="D38" s="41" t="s">
        <v>125</v>
      </c>
      <c r="E38" s="42"/>
      <c r="F38" s="22">
        <f>G38</f>
        <v>40600</v>
      </c>
      <c r="G38" s="26">
        <f>'７　キャベツ収支'!F35*G$4</f>
        <v>40600</v>
      </c>
      <c r="H38" s="23"/>
    </row>
    <row r="39" spans="2:8" ht="20.100000000000001" customHeight="1" x14ac:dyDescent="0.15">
      <c r="B39" s="539"/>
      <c r="C39" s="558"/>
      <c r="D39" s="41" t="s">
        <v>94</v>
      </c>
      <c r="E39" s="42"/>
      <c r="F39" s="22">
        <f t="shared" ref="F39:F40" si="2">G39</f>
        <v>0</v>
      </c>
      <c r="G39" s="26">
        <f>'７　キャベツ収支'!F36*G$4</f>
        <v>0</v>
      </c>
      <c r="H39" s="23"/>
    </row>
    <row r="40" spans="2:8" ht="20.100000000000001" customHeight="1" x14ac:dyDescent="0.15">
      <c r="B40" s="539"/>
      <c r="C40" s="558"/>
      <c r="D40" s="41" t="s">
        <v>68</v>
      </c>
      <c r="E40" s="42"/>
      <c r="F40" s="22">
        <f t="shared" si="2"/>
        <v>153580</v>
      </c>
      <c r="G40" s="26">
        <f>'７　キャベツ収支'!F37*G$4</f>
        <v>153580</v>
      </c>
      <c r="H40" s="23"/>
    </row>
    <row r="41" spans="2:8" ht="20.100000000000001" customHeight="1" x14ac:dyDescent="0.15">
      <c r="B41" s="539"/>
      <c r="C41" s="558"/>
      <c r="D41" s="41" t="s">
        <v>0</v>
      </c>
      <c r="E41" s="42"/>
      <c r="F41" s="22">
        <v>0</v>
      </c>
      <c r="G41" s="26">
        <f>G$7/$F$7*$F41</f>
        <v>0</v>
      </c>
      <c r="H41" s="23"/>
    </row>
    <row r="42" spans="2:8" ht="20.100000000000001" customHeight="1" thickBot="1" x14ac:dyDescent="0.2">
      <c r="B42" s="540"/>
      <c r="C42" s="559"/>
      <c r="D42" s="563" t="s">
        <v>198</v>
      </c>
      <c r="E42" s="564"/>
      <c r="F42" s="32">
        <f>SUM(F30:F41)</f>
        <v>13017305</v>
      </c>
      <c r="G42" s="32">
        <f>SUM(G30:G41)</f>
        <v>13017305</v>
      </c>
      <c r="H42" s="33"/>
    </row>
    <row r="43" spans="2:8" ht="20.100000000000001" customHeight="1" thickBot="1" x14ac:dyDescent="0.2">
      <c r="B43" s="568" t="s">
        <v>201</v>
      </c>
      <c r="C43" s="569"/>
      <c r="D43" s="569"/>
      <c r="E43" s="569"/>
      <c r="F43" s="34">
        <f>F29-F42</f>
        <v>2054227.647330448</v>
      </c>
      <c r="G43" s="307">
        <f>G29-G42</f>
        <v>2054227.647330448</v>
      </c>
      <c r="H43" s="35"/>
    </row>
    <row r="44" spans="2:8" ht="20.100000000000001" customHeight="1" x14ac:dyDescent="0.15">
      <c r="B44" s="538" t="s">
        <v>95</v>
      </c>
      <c r="C44" s="571" t="s">
        <v>202</v>
      </c>
      <c r="D44" s="36" t="s">
        <v>124</v>
      </c>
      <c r="E44" s="37"/>
      <c r="F44" s="38">
        <f>G44</f>
        <v>0</v>
      </c>
      <c r="G44" s="306">
        <f>'７　キャベツ収支'!F40*G$4</f>
        <v>0</v>
      </c>
      <c r="H44" s="19"/>
    </row>
    <row r="45" spans="2:8" ht="20.100000000000001" customHeight="1" x14ac:dyDescent="0.15">
      <c r="B45" s="539"/>
      <c r="C45" s="572"/>
      <c r="D45" s="20" t="s">
        <v>123</v>
      </c>
      <c r="E45" s="21"/>
      <c r="F45" s="39">
        <f t="shared" ref="F45:F48" si="3">G45</f>
        <v>0</v>
      </c>
      <c r="G45" s="26">
        <f>'７　キャベツ収支'!F41*G$4</f>
        <v>0</v>
      </c>
      <c r="H45" s="40"/>
    </row>
    <row r="46" spans="2:8" ht="20.100000000000001" customHeight="1" x14ac:dyDescent="0.15">
      <c r="B46" s="539"/>
      <c r="C46" s="573"/>
      <c r="D46" s="41" t="s">
        <v>69</v>
      </c>
      <c r="E46" s="21"/>
      <c r="F46" s="39">
        <f t="shared" si="3"/>
        <v>0</v>
      </c>
      <c r="G46" s="26">
        <f>'７　キャベツ収支'!F42*G$4</f>
        <v>0</v>
      </c>
      <c r="H46" s="23"/>
    </row>
    <row r="47" spans="2:8" ht="20.100000000000001" customHeight="1" x14ac:dyDescent="0.15">
      <c r="B47" s="539"/>
      <c r="C47" s="573" t="s">
        <v>203</v>
      </c>
      <c r="D47" s="41" t="s">
        <v>255</v>
      </c>
      <c r="E47" s="42"/>
      <c r="F47" s="39">
        <f t="shared" si="3"/>
        <v>0</v>
      </c>
      <c r="G47" s="26">
        <f>'７　キャベツ収支'!F43*G$4</f>
        <v>0</v>
      </c>
      <c r="H47" s="40"/>
    </row>
    <row r="48" spans="2:8" ht="20.100000000000001" customHeight="1" x14ac:dyDescent="0.15">
      <c r="B48" s="539"/>
      <c r="C48" s="557"/>
      <c r="D48" s="43" t="s">
        <v>1</v>
      </c>
      <c r="E48" s="44"/>
      <c r="F48" s="45">
        <f t="shared" si="3"/>
        <v>0</v>
      </c>
      <c r="G48" s="26">
        <f>'７　キャベツ収支'!F44*G$4</f>
        <v>0</v>
      </c>
      <c r="H48" s="46"/>
    </row>
    <row r="49" spans="2:8" ht="20.100000000000001" customHeight="1" thickBot="1" x14ac:dyDescent="0.2">
      <c r="B49" s="570"/>
      <c r="C49" s="563" t="s">
        <v>204</v>
      </c>
      <c r="D49" s="574"/>
      <c r="E49" s="564"/>
      <c r="F49" s="47">
        <f>SUM(F44:F46)-SUM(F47:F48)</f>
        <v>0</v>
      </c>
      <c r="G49" s="47">
        <f t="shared" ref="G49" si="4">SUM(G44:G46)-SUM(G47:G48)</f>
        <v>0</v>
      </c>
      <c r="H49" s="33"/>
    </row>
    <row r="50" spans="2:8" ht="20.100000000000001" customHeight="1" thickBot="1" x14ac:dyDescent="0.2">
      <c r="B50" s="566" t="s">
        <v>205</v>
      </c>
      <c r="C50" s="567"/>
      <c r="D50" s="567"/>
      <c r="E50" s="567"/>
      <c r="F50" s="307">
        <f>F43+F49</f>
        <v>2054227.647330448</v>
      </c>
      <c r="G50" s="307">
        <f>G43+G49</f>
        <v>2054227.647330448</v>
      </c>
      <c r="H50" s="415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H3:H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showZeros="0" zoomScale="75" zoomScaleNormal="75" zoomScaleSheetLayoutView="70" workbookViewId="0">
      <selection activeCell="F11" sqref="F11"/>
    </sheetView>
  </sheetViews>
  <sheetFormatPr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292</v>
      </c>
      <c r="C2" s="5"/>
      <c r="D2" s="5"/>
      <c r="E2" s="5"/>
      <c r="F2" s="5"/>
      <c r="G2" s="5"/>
      <c r="H2" s="5"/>
      <c r="I2" s="5"/>
      <c r="J2" s="5"/>
      <c r="K2" s="311" t="s">
        <v>245</v>
      </c>
      <c r="L2" s="310" t="s">
        <v>290</v>
      </c>
      <c r="M2" s="93"/>
      <c r="N2" s="311" t="s">
        <v>246</v>
      </c>
      <c r="O2" s="310" t="s">
        <v>395</v>
      </c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583" t="s">
        <v>126</v>
      </c>
      <c r="C3" s="575">
        <v>1</v>
      </c>
      <c r="D3" s="576"/>
      <c r="E3" s="577"/>
      <c r="F3" s="575">
        <v>2</v>
      </c>
      <c r="G3" s="576"/>
      <c r="H3" s="577"/>
      <c r="I3" s="575">
        <v>3</v>
      </c>
      <c r="J3" s="576"/>
      <c r="K3" s="577"/>
      <c r="L3" s="575">
        <v>4</v>
      </c>
      <c r="M3" s="576"/>
      <c r="N3" s="577"/>
      <c r="O3" s="575">
        <v>5</v>
      </c>
      <c r="P3" s="576"/>
      <c r="Q3" s="577"/>
      <c r="R3" s="575">
        <v>6</v>
      </c>
      <c r="S3" s="576"/>
      <c r="T3" s="577"/>
      <c r="U3" s="575">
        <v>7</v>
      </c>
      <c r="V3" s="576"/>
      <c r="W3" s="577"/>
      <c r="X3" s="575">
        <v>8</v>
      </c>
      <c r="Y3" s="576"/>
      <c r="Z3" s="577"/>
      <c r="AA3" s="575">
        <v>9</v>
      </c>
      <c r="AB3" s="576"/>
      <c r="AC3" s="577"/>
      <c r="AD3" s="575">
        <v>10</v>
      </c>
      <c r="AE3" s="576"/>
      <c r="AF3" s="577"/>
      <c r="AG3" s="575">
        <v>11</v>
      </c>
      <c r="AH3" s="576"/>
      <c r="AI3" s="577"/>
      <c r="AJ3" s="575">
        <v>12</v>
      </c>
      <c r="AK3" s="576"/>
      <c r="AL3" s="577"/>
      <c r="AM3" s="578" t="s">
        <v>33</v>
      </c>
    </row>
    <row r="4" spans="2:62" ht="20.100000000000001" customHeight="1" x14ac:dyDescent="0.15">
      <c r="B4" s="582"/>
      <c r="C4" s="75" t="s">
        <v>34</v>
      </c>
      <c r="D4" s="76" t="s">
        <v>35</v>
      </c>
      <c r="E4" s="77" t="s">
        <v>36</v>
      </c>
      <c r="F4" s="75" t="s">
        <v>34</v>
      </c>
      <c r="G4" s="77" t="s">
        <v>35</v>
      </c>
      <c r="H4" s="77" t="s">
        <v>36</v>
      </c>
      <c r="I4" s="75" t="s">
        <v>34</v>
      </c>
      <c r="J4" s="77" t="s">
        <v>35</v>
      </c>
      <c r="K4" s="77" t="s">
        <v>36</v>
      </c>
      <c r="L4" s="75" t="s">
        <v>34</v>
      </c>
      <c r="M4" s="77" t="s">
        <v>35</v>
      </c>
      <c r="N4" s="77" t="s">
        <v>36</v>
      </c>
      <c r="O4" s="75" t="s">
        <v>34</v>
      </c>
      <c r="P4" s="77" t="s">
        <v>35</v>
      </c>
      <c r="Q4" s="77" t="s">
        <v>36</v>
      </c>
      <c r="R4" s="75" t="s">
        <v>34</v>
      </c>
      <c r="S4" s="78" t="s">
        <v>35</v>
      </c>
      <c r="T4" s="78" t="s">
        <v>36</v>
      </c>
      <c r="U4" s="75" t="s">
        <v>34</v>
      </c>
      <c r="V4" s="77" t="s">
        <v>35</v>
      </c>
      <c r="W4" s="77" t="s">
        <v>36</v>
      </c>
      <c r="X4" s="75" t="s">
        <v>34</v>
      </c>
      <c r="Y4" s="77" t="s">
        <v>35</v>
      </c>
      <c r="Z4" s="77" t="s">
        <v>36</v>
      </c>
      <c r="AA4" s="75" t="s">
        <v>34</v>
      </c>
      <c r="AB4" s="77" t="s">
        <v>35</v>
      </c>
      <c r="AC4" s="77" t="s">
        <v>36</v>
      </c>
      <c r="AD4" s="75" t="s">
        <v>34</v>
      </c>
      <c r="AE4" s="77" t="s">
        <v>35</v>
      </c>
      <c r="AF4" s="77" t="s">
        <v>36</v>
      </c>
      <c r="AG4" s="75" t="s">
        <v>34</v>
      </c>
      <c r="AH4" s="77" t="s">
        <v>35</v>
      </c>
      <c r="AI4" s="77" t="s">
        <v>36</v>
      </c>
      <c r="AJ4" s="75" t="s">
        <v>34</v>
      </c>
      <c r="AK4" s="77" t="s">
        <v>35</v>
      </c>
      <c r="AL4" s="77" t="s">
        <v>36</v>
      </c>
      <c r="AM4" s="579"/>
    </row>
    <row r="5" spans="2:62" ht="20.100000000000001" customHeight="1" x14ac:dyDescent="0.15">
      <c r="B5" s="580" t="s">
        <v>127</v>
      </c>
      <c r="C5" s="346"/>
      <c r="D5" s="347"/>
      <c r="E5" s="347"/>
      <c r="F5" s="346"/>
      <c r="G5" s="347"/>
      <c r="H5" s="107"/>
      <c r="I5" s="347"/>
      <c r="J5" s="347"/>
      <c r="K5" s="330" t="s">
        <v>270</v>
      </c>
      <c r="L5" s="335"/>
      <c r="M5" s="337"/>
      <c r="N5" s="376" t="s">
        <v>400</v>
      </c>
      <c r="O5" s="336" t="s">
        <v>271</v>
      </c>
      <c r="P5" s="337"/>
      <c r="Q5" s="330" t="s">
        <v>404</v>
      </c>
      <c r="R5" s="346"/>
      <c r="S5" s="347"/>
      <c r="T5" s="107"/>
      <c r="U5" s="331"/>
      <c r="V5" s="332"/>
      <c r="W5" s="333"/>
      <c r="X5" s="334"/>
      <c r="Y5" s="347"/>
      <c r="Z5" s="107"/>
      <c r="AA5" s="346"/>
      <c r="AB5" s="347"/>
      <c r="AC5" s="107"/>
      <c r="AD5" s="346"/>
      <c r="AE5" s="347"/>
      <c r="AF5" s="107"/>
      <c r="AG5" s="346"/>
      <c r="AH5" s="347"/>
      <c r="AI5" s="107"/>
      <c r="AJ5" s="347"/>
      <c r="AK5" s="347"/>
      <c r="AL5" s="107"/>
      <c r="AM5" s="79"/>
    </row>
    <row r="6" spans="2:62" ht="35.25" customHeight="1" x14ac:dyDescent="0.15">
      <c r="B6" s="581"/>
      <c r="C6" s="349"/>
      <c r="D6" s="110"/>
      <c r="E6" s="110"/>
      <c r="F6" s="349"/>
      <c r="G6" s="110"/>
      <c r="H6" s="371"/>
      <c r="I6" s="110"/>
      <c r="J6" s="110"/>
      <c r="K6" s="112"/>
      <c r="L6" s="349"/>
      <c r="M6" s="110"/>
      <c r="N6" s="371"/>
      <c r="O6" s="113"/>
      <c r="P6" s="372" t="s">
        <v>396</v>
      </c>
      <c r="Q6" s="112"/>
      <c r="R6" s="373"/>
      <c r="S6" s="372" t="s">
        <v>392</v>
      </c>
      <c r="T6" s="371"/>
      <c r="U6" s="113"/>
      <c r="V6" s="372" t="s">
        <v>405</v>
      </c>
      <c r="W6" s="374"/>
      <c r="X6" s="373"/>
      <c r="Y6" s="372" t="s">
        <v>393</v>
      </c>
      <c r="Z6" s="371"/>
      <c r="AA6" s="349"/>
      <c r="AB6" s="110"/>
      <c r="AC6" s="371"/>
      <c r="AD6" s="349"/>
      <c r="AE6" s="110"/>
      <c r="AF6" s="371"/>
      <c r="AG6" s="349"/>
      <c r="AH6" s="110"/>
      <c r="AI6" s="371"/>
      <c r="AJ6" s="110"/>
      <c r="AK6" s="110"/>
      <c r="AL6" s="371"/>
      <c r="AM6" s="79"/>
    </row>
    <row r="7" spans="2:62" ht="20.100000000000001" customHeight="1" x14ac:dyDescent="0.15">
      <c r="B7" s="582"/>
      <c r="C7" s="365"/>
      <c r="D7" s="366"/>
      <c r="E7" s="366"/>
      <c r="F7" s="365"/>
      <c r="G7" s="366"/>
      <c r="H7" s="111"/>
      <c r="I7" s="366"/>
      <c r="J7" s="366"/>
      <c r="K7" s="367"/>
      <c r="L7" s="365"/>
      <c r="M7" s="366"/>
      <c r="N7" s="111"/>
      <c r="O7" s="368"/>
      <c r="P7" s="366"/>
      <c r="Q7" s="367"/>
      <c r="R7" s="365"/>
      <c r="S7" s="366"/>
      <c r="T7" s="111"/>
      <c r="U7" s="368"/>
      <c r="V7" s="366"/>
      <c r="W7" s="367"/>
      <c r="X7" s="365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6"/>
      <c r="AK7" s="366"/>
      <c r="AL7" s="111"/>
      <c r="AM7" s="80"/>
    </row>
    <row r="8" spans="2:62" ht="20.100000000000001" customHeight="1" x14ac:dyDescent="0.15">
      <c r="B8" s="81" t="s">
        <v>280</v>
      </c>
      <c r="C8" s="82"/>
      <c r="D8" s="83"/>
      <c r="E8" s="83"/>
      <c r="F8" s="82"/>
      <c r="G8" s="83"/>
      <c r="H8" s="83"/>
      <c r="I8" s="82"/>
      <c r="J8" s="83"/>
      <c r="K8" s="83">
        <v>1.1000000000000001</v>
      </c>
      <c r="L8" s="82">
        <v>1.1000000000000001</v>
      </c>
      <c r="M8" s="83">
        <v>1.1000000000000001</v>
      </c>
      <c r="N8" s="83">
        <v>1.2</v>
      </c>
      <c r="O8" s="82"/>
      <c r="P8" s="83">
        <v>1.2</v>
      </c>
      <c r="Q8" s="83">
        <v>1.2</v>
      </c>
      <c r="R8" s="82">
        <v>1.2</v>
      </c>
      <c r="S8" s="83">
        <v>1.8</v>
      </c>
      <c r="T8" s="83">
        <v>1.8</v>
      </c>
      <c r="U8" s="82">
        <v>1.8</v>
      </c>
      <c r="V8" s="83">
        <v>1.5</v>
      </c>
      <c r="W8" s="83"/>
      <c r="X8" s="82"/>
      <c r="Y8" s="83"/>
      <c r="Z8" s="83"/>
      <c r="AA8" s="82"/>
      <c r="AB8" s="83"/>
      <c r="AC8" s="83"/>
      <c r="AD8" s="82"/>
      <c r="AE8" s="83"/>
      <c r="AF8" s="83"/>
      <c r="AG8" s="82"/>
      <c r="AH8" s="83"/>
      <c r="AI8" s="83"/>
      <c r="AJ8" s="82"/>
      <c r="AK8" s="83"/>
      <c r="AL8" s="83"/>
      <c r="AM8" s="84">
        <f>SUM(C8:AL8)</f>
        <v>15.000000000000002</v>
      </c>
    </row>
    <row r="9" spans="2:62" ht="20.100000000000001" customHeight="1" x14ac:dyDescent="0.15">
      <c r="B9" s="81" t="s">
        <v>281</v>
      </c>
      <c r="C9" s="82"/>
      <c r="D9" s="83"/>
      <c r="E9" s="83"/>
      <c r="F9" s="82"/>
      <c r="G9" s="83"/>
      <c r="H9" s="83"/>
      <c r="I9" s="82"/>
      <c r="J9" s="83"/>
      <c r="K9" s="83">
        <v>0.6</v>
      </c>
      <c r="L9" s="82">
        <v>0.6</v>
      </c>
      <c r="M9" s="83">
        <v>1.2</v>
      </c>
      <c r="N9" s="83">
        <v>1.8</v>
      </c>
      <c r="O9" s="82">
        <v>1.5</v>
      </c>
      <c r="P9" s="83">
        <v>1.8</v>
      </c>
      <c r="Q9" s="83">
        <v>1.9</v>
      </c>
      <c r="R9" s="82">
        <v>2.4</v>
      </c>
      <c r="S9" s="83">
        <v>2.4</v>
      </c>
      <c r="T9" s="83">
        <v>2.4</v>
      </c>
      <c r="U9" s="82">
        <v>2.4</v>
      </c>
      <c r="V9" s="83">
        <v>2.4</v>
      </c>
      <c r="W9" s="83">
        <v>1.6</v>
      </c>
      <c r="X9" s="82">
        <v>0.8</v>
      </c>
      <c r="Y9" s="83">
        <v>0.2</v>
      </c>
      <c r="Z9" s="83"/>
      <c r="AA9" s="82"/>
      <c r="AB9" s="83"/>
      <c r="AC9" s="83"/>
      <c r="AD9" s="82"/>
      <c r="AE9" s="83"/>
      <c r="AF9" s="83"/>
      <c r="AG9" s="82"/>
      <c r="AH9" s="83"/>
      <c r="AI9" s="83"/>
      <c r="AJ9" s="82"/>
      <c r="AK9" s="83"/>
      <c r="AL9" s="83"/>
      <c r="AM9" s="84">
        <f t="shared" ref="AM9:AM32" si="0">SUM(C9:AL9)</f>
        <v>24</v>
      </c>
    </row>
    <row r="10" spans="2:62" ht="20.100000000000001" customHeight="1" x14ac:dyDescent="0.15">
      <c r="B10" s="81" t="s">
        <v>282</v>
      </c>
      <c r="C10" s="82"/>
      <c r="D10" s="83"/>
      <c r="E10" s="83"/>
      <c r="F10" s="82"/>
      <c r="G10" s="83"/>
      <c r="H10" s="83"/>
      <c r="I10" s="82"/>
      <c r="J10" s="83"/>
      <c r="K10" s="83"/>
      <c r="L10" s="82"/>
      <c r="M10" s="83"/>
      <c r="N10" s="83"/>
      <c r="O10" s="82">
        <v>2</v>
      </c>
      <c r="P10" s="83">
        <v>2</v>
      </c>
      <c r="Q10" s="83">
        <v>2</v>
      </c>
      <c r="R10" s="82"/>
      <c r="S10" s="83">
        <v>1.5</v>
      </c>
      <c r="T10" s="83">
        <v>1.5</v>
      </c>
      <c r="U10" s="82">
        <v>2</v>
      </c>
      <c r="V10" s="83">
        <v>2</v>
      </c>
      <c r="W10" s="83">
        <v>2.5</v>
      </c>
      <c r="X10" s="82">
        <v>2.5</v>
      </c>
      <c r="Y10" s="83">
        <v>2</v>
      </c>
      <c r="Z10" s="83"/>
      <c r="AA10" s="82"/>
      <c r="AB10" s="83"/>
      <c r="AC10" s="83"/>
      <c r="AD10" s="82"/>
      <c r="AE10" s="83"/>
      <c r="AF10" s="83"/>
      <c r="AG10" s="82"/>
      <c r="AH10" s="83"/>
      <c r="AI10" s="83"/>
      <c r="AJ10" s="82"/>
      <c r="AK10" s="83"/>
      <c r="AL10" s="83"/>
      <c r="AM10" s="84">
        <f t="shared" si="0"/>
        <v>20</v>
      </c>
    </row>
    <row r="11" spans="2:62" ht="20.100000000000001" customHeight="1" x14ac:dyDescent="0.15">
      <c r="B11" s="81" t="s">
        <v>283</v>
      </c>
      <c r="C11" s="82"/>
      <c r="D11" s="83"/>
      <c r="E11" s="83"/>
      <c r="F11" s="82"/>
      <c r="G11" s="83"/>
      <c r="H11" s="83"/>
      <c r="I11" s="82"/>
      <c r="J11" s="83"/>
      <c r="K11" s="83"/>
      <c r="L11" s="82"/>
      <c r="M11" s="83"/>
      <c r="N11" s="83"/>
      <c r="O11" s="82"/>
      <c r="P11" s="83">
        <v>0.3</v>
      </c>
      <c r="Q11" s="83">
        <v>0.3</v>
      </c>
      <c r="R11" s="82">
        <v>0.3</v>
      </c>
      <c r="S11" s="83">
        <v>0.6</v>
      </c>
      <c r="T11" s="83">
        <v>0.6</v>
      </c>
      <c r="U11" s="82">
        <v>0.6</v>
      </c>
      <c r="V11" s="83">
        <v>0.8</v>
      </c>
      <c r="W11" s="83">
        <v>0.8</v>
      </c>
      <c r="X11" s="82">
        <v>0.8</v>
      </c>
      <c r="Y11" s="83">
        <v>0.8</v>
      </c>
      <c r="Z11" s="83">
        <v>0.6</v>
      </c>
      <c r="AA11" s="82"/>
      <c r="AB11" s="83"/>
      <c r="AC11" s="83"/>
      <c r="AD11" s="82"/>
      <c r="AE11" s="83"/>
      <c r="AF11" s="83"/>
      <c r="AG11" s="82"/>
      <c r="AH11" s="83"/>
      <c r="AI11" s="83"/>
      <c r="AJ11" s="82"/>
      <c r="AK11" s="83"/>
      <c r="AL11" s="83"/>
      <c r="AM11" s="84">
        <f t="shared" si="0"/>
        <v>6.4999999999999991</v>
      </c>
    </row>
    <row r="12" spans="2:62" ht="20.100000000000001" customHeight="1" x14ac:dyDescent="0.15">
      <c r="B12" s="81" t="s">
        <v>284</v>
      </c>
      <c r="C12" s="82"/>
      <c r="D12" s="83"/>
      <c r="E12" s="83"/>
      <c r="F12" s="82"/>
      <c r="G12" s="83"/>
      <c r="H12" s="83"/>
      <c r="I12" s="82"/>
      <c r="J12" s="83"/>
      <c r="K12" s="83"/>
      <c r="L12" s="82"/>
      <c r="M12" s="83"/>
      <c r="N12" s="83"/>
      <c r="O12" s="82">
        <v>3</v>
      </c>
      <c r="P12" s="83">
        <v>3</v>
      </c>
      <c r="Q12" s="83">
        <v>3</v>
      </c>
      <c r="R12" s="82"/>
      <c r="S12" s="83">
        <v>2.4</v>
      </c>
      <c r="T12" s="83">
        <v>2.4</v>
      </c>
      <c r="U12" s="82">
        <v>2.4</v>
      </c>
      <c r="V12" s="83">
        <v>3.2</v>
      </c>
      <c r="W12" s="83">
        <v>3.2</v>
      </c>
      <c r="X12" s="82">
        <v>3.2</v>
      </c>
      <c r="Y12" s="83">
        <v>3.2</v>
      </c>
      <c r="Z12" s="83"/>
      <c r="AA12" s="82"/>
      <c r="AB12" s="83"/>
      <c r="AC12" s="83"/>
      <c r="AD12" s="82"/>
      <c r="AE12" s="83"/>
      <c r="AF12" s="83"/>
      <c r="AG12" s="82"/>
      <c r="AH12" s="83"/>
      <c r="AI12" s="83"/>
      <c r="AJ12" s="82"/>
      <c r="AK12" s="83"/>
      <c r="AL12" s="83"/>
      <c r="AM12" s="84">
        <f t="shared" si="0"/>
        <v>28.999999999999996</v>
      </c>
    </row>
    <row r="13" spans="2:62" ht="20.100000000000001" customHeight="1" x14ac:dyDescent="0.15">
      <c r="B13" s="81" t="s">
        <v>285</v>
      </c>
      <c r="C13" s="82"/>
      <c r="D13" s="83"/>
      <c r="E13" s="83"/>
      <c r="F13" s="82"/>
      <c r="G13" s="83"/>
      <c r="H13" s="83"/>
      <c r="I13" s="82"/>
      <c r="J13" s="83"/>
      <c r="K13" s="83"/>
      <c r="L13" s="82"/>
      <c r="M13" s="83"/>
      <c r="N13" s="83"/>
      <c r="O13" s="82"/>
      <c r="P13" s="83"/>
      <c r="Q13" s="83"/>
      <c r="R13" s="82">
        <v>1.1000000000000001</v>
      </c>
      <c r="S13" s="83">
        <v>1.1000000000000001</v>
      </c>
      <c r="T13" s="83">
        <v>1.1000000000000001</v>
      </c>
      <c r="U13" s="82">
        <v>1.1000000000000001</v>
      </c>
      <c r="V13" s="83">
        <v>2.7</v>
      </c>
      <c r="W13" s="83">
        <v>2.6</v>
      </c>
      <c r="X13" s="82">
        <v>1.7</v>
      </c>
      <c r="Y13" s="83">
        <v>1.6</v>
      </c>
      <c r="Z13" s="83">
        <v>1.6</v>
      </c>
      <c r="AA13" s="82">
        <v>1.6</v>
      </c>
      <c r="AB13" s="83">
        <v>1.6</v>
      </c>
      <c r="AC13" s="83">
        <v>1.6</v>
      </c>
      <c r="AD13" s="82">
        <v>1.6</v>
      </c>
      <c r="AE13" s="83">
        <v>1.6</v>
      </c>
      <c r="AF13" s="83">
        <v>0.2</v>
      </c>
      <c r="AG13" s="82">
        <v>0.2</v>
      </c>
      <c r="AH13" s="83"/>
      <c r="AI13" s="83"/>
      <c r="AJ13" s="82"/>
      <c r="AK13" s="83"/>
      <c r="AL13" s="83"/>
      <c r="AM13" s="84">
        <f t="shared" si="0"/>
        <v>23.000000000000004</v>
      </c>
    </row>
    <row r="14" spans="2:62" ht="20.100000000000001" customHeight="1" x14ac:dyDescent="0.15">
      <c r="B14" s="81" t="s">
        <v>356</v>
      </c>
      <c r="C14" s="82"/>
      <c r="D14" s="83"/>
      <c r="E14" s="83"/>
      <c r="F14" s="82"/>
      <c r="G14" s="83"/>
      <c r="H14" s="83"/>
      <c r="I14" s="82"/>
      <c r="J14" s="83"/>
      <c r="K14" s="83"/>
      <c r="L14" s="82"/>
      <c r="M14" s="83"/>
      <c r="N14" s="83"/>
      <c r="O14" s="82"/>
      <c r="P14" s="83"/>
      <c r="Q14" s="83"/>
      <c r="R14" s="82"/>
      <c r="S14" s="83"/>
      <c r="T14" s="83"/>
      <c r="U14" s="82">
        <v>46</v>
      </c>
      <c r="V14" s="83">
        <v>46</v>
      </c>
      <c r="W14" s="83">
        <v>46</v>
      </c>
      <c r="X14" s="82">
        <v>46</v>
      </c>
      <c r="Y14" s="83">
        <v>40</v>
      </c>
      <c r="Z14" s="83">
        <v>40</v>
      </c>
      <c r="AA14" s="82">
        <v>40</v>
      </c>
      <c r="AB14" s="83">
        <v>40</v>
      </c>
      <c r="AC14" s="83">
        <v>40</v>
      </c>
      <c r="AD14" s="82">
        <v>46</v>
      </c>
      <c r="AE14" s="83">
        <v>46</v>
      </c>
      <c r="AF14" s="83">
        <v>46</v>
      </c>
      <c r="AG14" s="82">
        <v>46</v>
      </c>
      <c r="AH14" s="83">
        <v>46</v>
      </c>
      <c r="AI14" s="83">
        <v>40</v>
      </c>
      <c r="AJ14" s="82"/>
      <c r="AK14" s="83"/>
      <c r="AL14" s="83"/>
      <c r="AM14" s="84">
        <f t="shared" si="0"/>
        <v>654</v>
      </c>
    </row>
    <row r="15" spans="2:62" ht="20.100000000000001" customHeight="1" x14ac:dyDescent="0.15">
      <c r="B15" s="81" t="s">
        <v>355</v>
      </c>
      <c r="C15" s="82"/>
      <c r="D15" s="83"/>
      <c r="E15" s="83"/>
      <c r="F15" s="82"/>
      <c r="G15" s="83"/>
      <c r="H15" s="83"/>
      <c r="I15" s="82"/>
      <c r="J15" s="83"/>
      <c r="K15" s="83"/>
      <c r="L15" s="82"/>
      <c r="M15" s="83"/>
      <c r="N15" s="83"/>
      <c r="O15" s="82"/>
      <c r="P15" s="83"/>
      <c r="Q15" s="83"/>
      <c r="R15" s="82"/>
      <c r="S15" s="83"/>
      <c r="T15" s="83"/>
      <c r="U15" s="82"/>
      <c r="V15" s="83"/>
      <c r="W15" s="83"/>
      <c r="X15" s="82">
        <v>3</v>
      </c>
      <c r="Y15" s="83">
        <v>6</v>
      </c>
      <c r="Z15" s="83"/>
      <c r="AA15" s="82"/>
      <c r="AB15" s="83"/>
      <c r="AC15" s="83"/>
      <c r="AD15" s="82"/>
      <c r="AE15" s="83"/>
      <c r="AF15" s="83"/>
      <c r="AG15" s="82"/>
      <c r="AH15" s="83"/>
      <c r="AI15" s="83"/>
      <c r="AJ15" s="82">
        <v>21</v>
      </c>
      <c r="AK15" s="83"/>
      <c r="AL15" s="83"/>
      <c r="AM15" s="84">
        <f t="shared" si="0"/>
        <v>30</v>
      </c>
    </row>
    <row r="16" spans="2:62" ht="20.100000000000001" customHeight="1" x14ac:dyDescent="0.15">
      <c r="B16" s="81"/>
      <c r="C16" s="82"/>
      <c r="D16" s="83"/>
      <c r="E16" s="83"/>
      <c r="F16" s="82"/>
      <c r="G16" s="83"/>
      <c r="H16" s="83"/>
      <c r="I16" s="82"/>
      <c r="J16" s="83"/>
      <c r="K16" s="83"/>
      <c r="L16" s="82"/>
      <c r="M16" s="83"/>
      <c r="N16" s="83"/>
      <c r="O16" s="82"/>
      <c r="P16" s="83"/>
      <c r="Q16" s="83"/>
      <c r="R16" s="82"/>
      <c r="S16" s="83"/>
      <c r="T16" s="83"/>
      <c r="U16" s="82"/>
      <c r="V16" s="83"/>
      <c r="W16" s="83"/>
      <c r="X16" s="82"/>
      <c r="Y16" s="83"/>
      <c r="Z16" s="83"/>
      <c r="AA16" s="82"/>
      <c r="AB16" s="83"/>
      <c r="AC16" s="83"/>
      <c r="AD16" s="82"/>
      <c r="AE16" s="83"/>
      <c r="AF16" s="83"/>
      <c r="AG16" s="82"/>
      <c r="AH16" s="83"/>
      <c r="AI16" s="83"/>
      <c r="AJ16" s="82"/>
      <c r="AK16" s="83"/>
      <c r="AL16" s="83"/>
      <c r="AM16" s="84">
        <f t="shared" si="0"/>
        <v>0</v>
      </c>
    </row>
    <row r="17" spans="2:39" ht="20.100000000000001" customHeight="1" x14ac:dyDescent="0.15">
      <c r="B17" s="377"/>
      <c r="C17" s="378"/>
      <c r="D17" s="379"/>
      <c r="E17" s="379"/>
      <c r="F17" s="378"/>
      <c r="G17" s="379"/>
      <c r="H17" s="379"/>
      <c r="I17" s="378"/>
      <c r="J17" s="379"/>
      <c r="K17" s="379"/>
      <c r="L17" s="378"/>
      <c r="M17" s="379"/>
      <c r="N17" s="379"/>
      <c r="O17" s="378"/>
      <c r="P17" s="379"/>
      <c r="Q17" s="379"/>
      <c r="R17" s="378"/>
      <c r="S17" s="379"/>
      <c r="T17" s="379"/>
      <c r="U17" s="378"/>
      <c r="V17" s="379"/>
      <c r="W17" s="379"/>
      <c r="X17" s="378"/>
      <c r="Y17" s="379"/>
      <c r="Z17" s="379"/>
      <c r="AA17" s="378"/>
      <c r="AB17" s="379"/>
      <c r="AC17" s="379"/>
      <c r="AD17" s="378"/>
      <c r="AE17" s="379"/>
      <c r="AF17" s="379"/>
      <c r="AG17" s="378"/>
      <c r="AH17" s="379"/>
      <c r="AI17" s="379"/>
      <c r="AJ17" s="378"/>
      <c r="AK17" s="379"/>
      <c r="AL17" s="379"/>
      <c r="AM17" s="380"/>
    </row>
    <row r="18" spans="2:39" ht="20.100000000000001" customHeight="1" x14ac:dyDescent="0.15">
      <c r="B18" s="377"/>
      <c r="C18" s="378"/>
      <c r="D18" s="379"/>
      <c r="E18" s="379"/>
      <c r="F18" s="378"/>
      <c r="G18" s="379"/>
      <c r="H18" s="379"/>
      <c r="I18" s="378"/>
      <c r="J18" s="379"/>
      <c r="K18" s="379"/>
      <c r="L18" s="378"/>
      <c r="M18" s="379"/>
      <c r="N18" s="379"/>
      <c r="O18" s="378"/>
      <c r="P18" s="379"/>
      <c r="Q18" s="379"/>
      <c r="R18" s="378"/>
      <c r="S18" s="379"/>
      <c r="T18" s="379"/>
      <c r="U18" s="378"/>
      <c r="V18" s="379"/>
      <c r="W18" s="379"/>
      <c r="X18" s="378"/>
      <c r="Y18" s="379"/>
      <c r="Z18" s="379"/>
      <c r="AA18" s="378"/>
      <c r="AB18" s="379"/>
      <c r="AC18" s="379"/>
      <c r="AD18" s="378"/>
      <c r="AE18" s="379"/>
      <c r="AF18" s="379"/>
      <c r="AG18" s="378"/>
      <c r="AH18" s="379"/>
      <c r="AI18" s="379"/>
      <c r="AJ18" s="378"/>
      <c r="AK18" s="379"/>
      <c r="AL18" s="379"/>
      <c r="AM18" s="380"/>
    </row>
    <row r="19" spans="2:39" ht="20.100000000000001" customHeight="1" x14ac:dyDescent="0.15">
      <c r="B19" s="377"/>
      <c r="C19" s="378"/>
      <c r="D19" s="379"/>
      <c r="E19" s="379"/>
      <c r="F19" s="378"/>
      <c r="G19" s="379"/>
      <c r="H19" s="379"/>
      <c r="I19" s="378"/>
      <c r="J19" s="379"/>
      <c r="K19" s="379"/>
      <c r="L19" s="378"/>
      <c r="M19" s="379"/>
      <c r="N19" s="379"/>
      <c r="O19" s="378"/>
      <c r="P19" s="379"/>
      <c r="Q19" s="379"/>
      <c r="R19" s="378"/>
      <c r="S19" s="379"/>
      <c r="T19" s="379"/>
      <c r="U19" s="378"/>
      <c r="V19" s="379"/>
      <c r="W19" s="379"/>
      <c r="X19" s="378"/>
      <c r="Y19" s="379"/>
      <c r="Z19" s="379"/>
      <c r="AA19" s="378"/>
      <c r="AB19" s="379"/>
      <c r="AC19" s="379"/>
      <c r="AD19" s="378"/>
      <c r="AE19" s="379"/>
      <c r="AF19" s="379"/>
      <c r="AG19" s="378"/>
      <c r="AH19" s="379"/>
      <c r="AI19" s="379"/>
      <c r="AJ19" s="378"/>
      <c r="AK19" s="379"/>
      <c r="AL19" s="379"/>
      <c r="AM19" s="380"/>
    </row>
    <row r="20" spans="2:39" ht="20.100000000000001" customHeight="1" x14ac:dyDescent="0.15">
      <c r="B20" s="377"/>
      <c r="C20" s="378"/>
      <c r="D20" s="379"/>
      <c r="E20" s="379"/>
      <c r="F20" s="378"/>
      <c r="G20" s="379"/>
      <c r="H20" s="379"/>
      <c r="I20" s="378"/>
      <c r="J20" s="379"/>
      <c r="K20" s="379"/>
      <c r="L20" s="378"/>
      <c r="M20" s="379"/>
      <c r="N20" s="379"/>
      <c r="O20" s="378"/>
      <c r="P20" s="379"/>
      <c r="Q20" s="379"/>
      <c r="R20" s="378"/>
      <c r="S20" s="379"/>
      <c r="T20" s="379"/>
      <c r="U20" s="378"/>
      <c r="V20" s="379"/>
      <c r="W20" s="379"/>
      <c r="X20" s="378"/>
      <c r="Y20" s="379"/>
      <c r="Z20" s="379"/>
      <c r="AA20" s="378"/>
      <c r="AB20" s="379"/>
      <c r="AC20" s="379"/>
      <c r="AD20" s="378"/>
      <c r="AE20" s="379"/>
      <c r="AF20" s="379"/>
      <c r="AG20" s="378"/>
      <c r="AH20" s="379"/>
      <c r="AI20" s="379"/>
      <c r="AJ20" s="378"/>
      <c r="AK20" s="379"/>
      <c r="AL20" s="379"/>
      <c r="AM20" s="380"/>
    </row>
    <row r="21" spans="2:39" ht="20.100000000000001" customHeight="1" x14ac:dyDescent="0.15">
      <c r="B21" s="377"/>
      <c r="C21" s="378"/>
      <c r="D21" s="379"/>
      <c r="E21" s="379"/>
      <c r="F21" s="378"/>
      <c r="G21" s="379"/>
      <c r="H21" s="379"/>
      <c r="I21" s="378"/>
      <c r="J21" s="379"/>
      <c r="K21" s="379"/>
      <c r="L21" s="378"/>
      <c r="M21" s="379"/>
      <c r="N21" s="379"/>
      <c r="O21" s="378"/>
      <c r="P21" s="379"/>
      <c r="Q21" s="379"/>
      <c r="R21" s="378"/>
      <c r="S21" s="379"/>
      <c r="T21" s="379"/>
      <c r="U21" s="378"/>
      <c r="V21" s="379"/>
      <c r="W21" s="379"/>
      <c r="X21" s="378"/>
      <c r="Y21" s="379"/>
      <c r="Z21" s="379"/>
      <c r="AA21" s="378"/>
      <c r="AB21" s="379"/>
      <c r="AC21" s="379"/>
      <c r="AD21" s="378"/>
      <c r="AE21" s="379"/>
      <c r="AF21" s="379"/>
      <c r="AG21" s="378"/>
      <c r="AH21" s="379"/>
      <c r="AI21" s="379"/>
      <c r="AJ21" s="378"/>
      <c r="AK21" s="379"/>
      <c r="AL21" s="379"/>
      <c r="AM21" s="380"/>
    </row>
    <row r="22" spans="2:39" ht="20.100000000000001" customHeight="1" x14ac:dyDescent="0.15">
      <c r="B22" s="377"/>
      <c r="C22" s="378"/>
      <c r="D22" s="379"/>
      <c r="E22" s="379"/>
      <c r="F22" s="378"/>
      <c r="G22" s="379"/>
      <c r="H22" s="379"/>
      <c r="I22" s="378"/>
      <c r="J22" s="379"/>
      <c r="K22" s="379"/>
      <c r="L22" s="378"/>
      <c r="M22" s="379"/>
      <c r="N22" s="379"/>
      <c r="O22" s="378"/>
      <c r="P22" s="379"/>
      <c r="Q22" s="379"/>
      <c r="R22" s="378"/>
      <c r="S22" s="379"/>
      <c r="T22" s="379"/>
      <c r="U22" s="378"/>
      <c r="V22" s="379"/>
      <c r="W22" s="379"/>
      <c r="X22" s="378"/>
      <c r="Y22" s="379"/>
      <c r="Z22" s="379"/>
      <c r="AA22" s="378"/>
      <c r="AB22" s="379"/>
      <c r="AC22" s="379"/>
      <c r="AD22" s="378"/>
      <c r="AE22" s="379"/>
      <c r="AF22" s="379"/>
      <c r="AG22" s="378"/>
      <c r="AH22" s="379"/>
      <c r="AI22" s="379"/>
      <c r="AJ22" s="378"/>
      <c r="AK22" s="379"/>
      <c r="AL22" s="379"/>
      <c r="AM22" s="380"/>
    </row>
    <row r="23" spans="2:39" ht="20.100000000000001" customHeight="1" x14ac:dyDescent="0.15">
      <c r="B23" s="377"/>
      <c r="C23" s="378"/>
      <c r="D23" s="379"/>
      <c r="E23" s="379"/>
      <c r="F23" s="378"/>
      <c r="G23" s="379"/>
      <c r="H23" s="379"/>
      <c r="I23" s="378"/>
      <c r="J23" s="379"/>
      <c r="K23" s="379"/>
      <c r="L23" s="378"/>
      <c r="M23" s="379"/>
      <c r="N23" s="379"/>
      <c r="O23" s="378"/>
      <c r="P23" s="379"/>
      <c r="Q23" s="379"/>
      <c r="R23" s="378"/>
      <c r="S23" s="379"/>
      <c r="T23" s="379"/>
      <c r="U23" s="378"/>
      <c r="V23" s="379"/>
      <c r="W23" s="379"/>
      <c r="X23" s="378"/>
      <c r="Y23" s="379"/>
      <c r="Z23" s="379"/>
      <c r="AA23" s="378"/>
      <c r="AB23" s="379"/>
      <c r="AC23" s="379"/>
      <c r="AD23" s="378"/>
      <c r="AE23" s="379"/>
      <c r="AF23" s="379"/>
      <c r="AG23" s="378"/>
      <c r="AH23" s="379"/>
      <c r="AI23" s="379"/>
      <c r="AJ23" s="378"/>
      <c r="AK23" s="379"/>
      <c r="AL23" s="379"/>
      <c r="AM23" s="380"/>
    </row>
    <row r="24" spans="2:39" ht="20.100000000000001" customHeight="1" x14ac:dyDescent="0.15">
      <c r="B24" s="377"/>
      <c r="C24" s="378"/>
      <c r="D24" s="379"/>
      <c r="E24" s="379"/>
      <c r="F24" s="378"/>
      <c r="G24" s="379"/>
      <c r="H24" s="379"/>
      <c r="I24" s="378"/>
      <c r="J24" s="379"/>
      <c r="K24" s="379"/>
      <c r="L24" s="378"/>
      <c r="M24" s="379"/>
      <c r="N24" s="379"/>
      <c r="O24" s="378"/>
      <c r="P24" s="379"/>
      <c r="Q24" s="379"/>
      <c r="R24" s="378"/>
      <c r="S24" s="379"/>
      <c r="T24" s="379"/>
      <c r="U24" s="378"/>
      <c r="V24" s="379"/>
      <c r="W24" s="379"/>
      <c r="X24" s="378"/>
      <c r="Y24" s="379"/>
      <c r="Z24" s="379"/>
      <c r="AA24" s="378"/>
      <c r="AB24" s="379"/>
      <c r="AC24" s="379"/>
      <c r="AD24" s="378"/>
      <c r="AE24" s="379"/>
      <c r="AF24" s="379"/>
      <c r="AG24" s="378"/>
      <c r="AH24" s="379"/>
      <c r="AI24" s="379"/>
      <c r="AJ24" s="378"/>
      <c r="AK24" s="379"/>
      <c r="AL24" s="379"/>
      <c r="AM24" s="380"/>
    </row>
    <row r="25" spans="2:39" ht="20.100000000000001" customHeight="1" x14ac:dyDescent="0.15">
      <c r="B25" s="377"/>
      <c r="C25" s="378"/>
      <c r="D25" s="379"/>
      <c r="E25" s="379"/>
      <c r="F25" s="378"/>
      <c r="G25" s="379"/>
      <c r="H25" s="379"/>
      <c r="I25" s="378"/>
      <c r="J25" s="379"/>
      <c r="K25" s="379"/>
      <c r="L25" s="378"/>
      <c r="M25" s="379"/>
      <c r="N25" s="379"/>
      <c r="O25" s="378"/>
      <c r="P25" s="379"/>
      <c r="Q25" s="379"/>
      <c r="R25" s="378"/>
      <c r="S25" s="379"/>
      <c r="T25" s="379"/>
      <c r="U25" s="378"/>
      <c r="V25" s="379"/>
      <c r="W25" s="379"/>
      <c r="X25" s="378"/>
      <c r="Y25" s="379"/>
      <c r="Z25" s="379"/>
      <c r="AA25" s="378"/>
      <c r="AB25" s="379"/>
      <c r="AC25" s="379"/>
      <c r="AD25" s="378"/>
      <c r="AE25" s="379"/>
      <c r="AF25" s="379"/>
      <c r="AG25" s="378"/>
      <c r="AH25" s="379"/>
      <c r="AI25" s="379"/>
      <c r="AJ25" s="378"/>
      <c r="AK25" s="379"/>
      <c r="AL25" s="379"/>
      <c r="AM25" s="380"/>
    </row>
    <row r="26" spans="2:39" ht="20.100000000000001" customHeight="1" x14ac:dyDescent="0.15">
      <c r="B26" s="377"/>
      <c r="C26" s="378"/>
      <c r="D26" s="379"/>
      <c r="E26" s="379"/>
      <c r="F26" s="378"/>
      <c r="G26" s="379"/>
      <c r="H26" s="379"/>
      <c r="I26" s="378"/>
      <c r="J26" s="379"/>
      <c r="K26" s="379"/>
      <c r="L26" s="378"/>
      <c r="M26" s="379"/>
      <c r="N26" s="379"/>
      <c r="O26" s="378"/>
      <c r="P26" s="379"/>
      <c r="Q26" s="379"/>
      <c r="R26" s="378"/>
      <c r="S26" s="379"/>
      <c r="T26" s="379"/>
      <c r="U26" s="378"/>
      <c r="V26" s="379"/>
      <c r="W26" s="379"/>
      <c r="X26" s="378"/>
      <c r="Y26" s="379"/>
      <c r="Z26" s="379"/>
      <c r="AA26" s="378"/>
      <c r="AB26" s="379"/>
      <c r="AC26" s="379"/>
      <c r="AD26" s="378"/>
      <c r="AE26" s="379"/>
      <c r="AF26" s="379"/>
      <c r="AG26" s="378"/>
      <c r="AH26" s="379"/>
      <c r="AI26" s="379"/>
      <c r="AJ26" s="378"/>
      <c r="AK26" s="379"/>
      <c r="AL26" s="379"/>
      <c r="AM26" s="380"/>
    </row>
    <row r="27" spans="2:39" ht="20.100000000000001" customHeight="1" x14ac:dyDescent="0.15">
      <c r="B27" s="377"/>
      <c r="C27" s="378"/>
      <c r="D27" s="379"/>
      <c r="E27" s="379"/>
      <c r="F27" s="378"/>
      <c r="G27" s="379"/>
      <c r="H27" s="379"/>
      <c r="I27" s="378"/>
      <c r="J27" s="379"/>
      <c r="K27" s="379"/>
      <c r="L27" s="378"/>
      <c r="M27" s="379"/>
      <c r="N27" s="379"/>
      <c r="O27" s="378"/>
      <c r="P27" s="379"/>
      <c r="Q27" s="379"/>
      <c r="R27" s="378"/>
      <c r="S27" s="379"/>
      <c r="T27" s="379"/>
      <c r="U27" s="378"/>
      <c r="V27" s="379"/>
      <c r="W27" s="379"/>
      <c r="X27" s="378"/>
      <c r="Y27" s="379"/>
      <c r="Z27" s="379"/>
      <c r="AA27" s="378"/>
      <c r="AB27" s="379"/>
      <c r="AC27" s="379"/>
      <c r="AD27" s="378"/>
      <c r="AE27" s="379"/>
      <c r="AF27" s="379"/>
      <c r="AG27" s="378"/>
      <c r="AH27" s="379"/>
      <c r="AI27" s="379"/>
      <c r="AJ27" s="378"/>
      <c r="AK27" s="379"/>
      <c r="AL27" s="379"/>
      <c r="AM27" s="380"/>
    </row>
    <row r="28" spans="2:39" ht="20.100000000000001" customHeight="1" x14ac:dyDescent="0.15">
      <c r="B28" s="377"/>
      <c r="C28" s="378"/>
      <c r="D28" s="379"/>
      <c r="E28" s="379"/>
      <c r="F28" s="378"/>
      <c r="G28" s="379"/>
      <c r="H28" s="379"/>
      <c r="I28" s="378"/>
      <c r="J28" s="379"/>
      <c r="K28" s="379"/>
      <c r="L28" s="378"/>
      <c r="M28" s="379"/>
      <c r="N28" s="379"/>
      <c r="O28" s="378"/>
      <c r="P28" s="379"/>
      <c r="Q28" s="379"/>
      <c r="R28" s="378"/>
      <c r="S28" s="379"/>
      <c r="T28" s="379"/>
      <c r="U28" s="378"/>
      <c r="V28" s="379"/>
      <c r="W28" s="379"/>
      <c r="X28" s="378"/>
      <c r="Y28" s="379"/>
      <c r="Z28" s="379"/>
      <c r="AA28" s="378"/>
      <c r="AB28" s="379"/>
      <c r="AC28" s="379"/>
      <c r="AD28" s="378"/>
      <c r="AE28" s="379"/>
      <c r="AF28" s="379"/>
      <c r="AG28" s="378"/>
      <c r="AH28" s="379"/>
      <c r="AI28" s="379"/>
      <c r="AJ28" s="378"/>
      <c r="AK28" s="379"/>
      <c r="AL28" s="379"/>
      <c r="AM28" s="380"/>
    </row>
    <row r="29" spans="2:39" ht="20.100000000000001" customHeight="1" x14ac:dyDescent="0.15">
      <c r="B29" s="377"/>
      <c r="C29" s="378"/>
      <c r="D29" s="379"/>
      <c r="E29" s="379"/>
      <c r="F29" s="378"/>
      <c r="G29" s="379"/>
      <c r="H29" s="379"/>
      <c r="I29" s="378"/>
      <c r="J29" s="379"/>
      <c r="K29" s="379"/>
      <c r="L29" s="378"/>
      <c r="M29" s="379"/>
      <c r="N29" s="379"/>
      <c r="O29" s="378"/>
      <c r="P29" s="379"/>
      <c r="Q29" s="379"/>
      <c r="R29" s="378"/>
      <c r="S29" s="379"/>
      <c r="T29" s="379"/>
      <c r="U29" s="378"/>
      <c r="V29" s="379"/>
      <c r="W29" s="379"/>
      <c r="X29" s="378"/>
      <c r="Y29" s="379"/>
      <c r="Z29" s="379"/>
      <c r="AA29" s="378"/>
      <c r="AB29" s="379"/>
      <c r="AC29" s="379"/>
      <c r="AD29" s="378"/>
      <c r="AE29" s="379"/>
      <c r="AF29" s="379"/>
      <c r="AG29" s="378"/>
      <c r="AH29" s="379"/>
      <c r="AI29" s="379"/>
      <c r="AJ29" s="378"/>
      <c r="AK29" s="379"/>
      <c r="AL29" s="379"/>
      <c r="AM29" s="380"/>
    </row>
    <row r="30" spans="2:39" ht="20.100000000000001" customHeight="1" x14ac:dyDescent="0.15">
      <c r="B30" s="81"/>
      <c r="C30" s="82"/>
      <c r="D30" s="83"/>
      <c r="E30" s="83"/>
      <c r="F30" s="82"/>
      <c r="G30" s="83"/>
      <c r="H30" s="83"/>
      <c r="I30" s="82"/>
      <c r="J30" s="83"/>
      <c r="K30" s="83"/>
      <c r="L30" s="82"/>
      <c r="M30" s="83"/>
      <c r="N30" s="83"/>
      <c r="O30" s="82"/>
      <c r="P30" s="83"/>
      <c r="Q30" s="83"/>
      <c r="R30" s="82"/>
      <c r="S30" s="83"/>
      <c r="T30" s="83"/>
      <c r="U30" s="82"/>
      <c r="V30" s="83"/>
      <c r="W30" s="83"/>
      <c r="X30" s="82"/>
      <c r="Y30" s="83"/>
      <c r="Z30" s="83"/>
      <c r="AA30" s="82"/>
      <c r="AB30" s="83"/>
      <c r="AC30" s="83"/>
      <c r="AD30" s="82"/>
      <c r="AE30" s="83"/>
      <c r="AF30" s="83"/>
      <c r="AG30" s="82"/>
      <c r="AH30" s="83"/>
      <c r="AI30" s="83"/>
      <c r="AJ30" s="82"/>
      <c r="AK30" s="83"/>
      <c r="AL30" s="83"/>
      <c r="AM30" s="84">
        <f t="shared" si="0"/>
        <v>0</v>
      </c>
    </row>
    <row r="31" spans="2:39" ht="20.100000000000001" customHeight="1" x14ac:dyDescent="0.15">
      <c r="B31" s="81"/>
      <c r="C31" s="82"/>
      <c r="D31" s="83"/>
      <c r="E31" s="83"/>
      <c r="F31" s="82"/>
      <c r="G31" s="83"/>
      <c r="H31" s="83"/>
      <c r="I31" s="82"/>
      <c r="J31" s="83"/>
      <c r="K31" s="83"/>
      <c r="L31" s="82"/>
      <c r="M31" s="83"/>
      <c r="N31" s="83"/>
      <c r="O31" s="82"/>
      <c r="P31" s="83"/>
      <c r="Q31" s="83"/>
      <c r="R31" s="82"/>
      <c r="S31" s="83"/>
      <c r="T31" s="83"/>
      <c r="U31" s="82"/>
      <c r="V31" s="83"/>
      <c r="W31" s="83"/>
      <c r="X31" s="82"/>
      <c r="Y31" s="83"/>
      <c r="Z31" s="83"/>
      <c r="AA31" s="82"/>
      <c r="AB31" s="83"/>
      <c r="AC31" s="83"/>
      <c r="AD31" s="82"/>
      <c r="AE31" s="83"/>
      <c r="AF31" s="83"/>
      <c r="AG31" s="82"/>
      <c r="AH31" s="83"/>
      <c r="AI31" s="83"/>
      <c r="AJ31" s="82"/>
      <c r="AK31" s="83"/>
      <c r="AL31" s="83"/>
      <c r="AM31" s="84">
        <f t="shared" si="0"/>
        <v>0</v>
      </c>
    </row>
    <row r="32" spans="2:39" ht="20.100000000000001" customHeight="1" x14ac:dyDescent="0.15">
      <c r="B32" s="81"/>
      <c r="C32" s="82"/>
      <c r="D32" s="83"/>
      <c r="E32" s="83"/>
      <c r="F32" s="82"/>
      <c r="G32" s="83"/>
      <c r="H32" s="83"/>
      <c r="I32" s="82"/>
      <c r="J32" s="83"/>
      <c r="K32" s="83"/>
      <c r="L32" s="82"/>
      <c r="M32" s="83"/>
      <c r="N32" s="83"/>
      <c r="O32" s="82"/>
      <c r="P32" s="83"/>
      <c r="Q32" s="83"/>
      <c r="R32" s="82"/>
      <c r="S32" s="83"/>
      <c r="T32" s="83"/>
      <c r="U32" s="82"/>
      <c r="V32" s="83"/>
      <c r="W32" s="83"/>
      <c r="X32" s="82"/>
      <c r="Y32" s="83"/>
      <c r="Z32" s="83"/>
      <c r="AA32" s="82"/>
      <c r="AB32" s="83"/>
      <c r="AC32" s="83"/>
      <c r="AD32" s="82"/>
      <c r="AE32" s="83"/>
      <c r="AF32" s="83"/>
      <c r="AG32" s="82"/>
      <c r="AH32" s="83"/>
      <c r="AI32" s="83"/>
      <c r="AJ32" s="82"/>
      <c r="AK32" s="83"/>
      <c r="AL32" s="83"/>
      <c r="AM32" s="84">
        <f t="shared" si="0"/>
        <v>0</v>
      </c>
    </row>
    <row r="33" spans="2:39" ht="20.100000000000001" customHeight="1" x14ac:dyDescent="0.15">
      <c r="B33" s="85" t="s">
        <v>128</v>
      </c>
      <c r="C33" s="82">
        <f t="shared" ref="C33:AL33" si="1">SUM(C8:C32)</f>
        <v>0</v>
      </c>
      <c r="D33" s="86">
        <f t="shared" si="1"/>
        <v>0</v>
      </c>
      <c r="E33" s="87">
        <f t="shared" si="1"/>
        <v>0</v>
      </c>
      <c r="F33" s="82">
        <f t="shared" si="1"/>
        <v>0</v>
      </c>
      <c r="G33" s="86">
        <f t="shared" si="1"/>
        <v>0</v>
      </c>
      <c r="H33" s="87">
        <f t="shared" si="1"/>
        <v>0</v>
      </c>
      <c r="I33" s="82">
        <f t="shared" si="1"/>
        <v>0</v>
      </c>
      <c r="J33" s="86">
        <f t="shared" si="1"/>
        <v>0</v>
      </c>
      <c r="K33" s="87">
        <f t="shared" si="1"/>
        <v>1.7000000000000002</v>
      </c>
      <c r="L33" s="82">
        <f t="shared" si="1"/>
        <v>1.7000000000000002</v>
      </c>
      <c r="M33" s="86">
        <f t="shared" si="1"/>
        <v>2.2999999999999998</v>
      </c>
      <c r="N33" s="87">
        <f t="shared" si="1"/>
        <v>3</v>
      </c>
      <c r="O33" s="82">
        <f t="shared" si="1"/>
        <v>6.5</v>
      </c>
      <c r="P33" s="86">
        <f t="shared" si="1"/>
        <v>8.3000000000000007</v>
      </c>
      <c r="Q33" s="87">
        <f t="shared" si="1"/>
        <v>8.3999999999999986</v>
      </c>
      <c r="R33" s="82">
        <f t="shared" si="1"/>
        <v>5</v>
      </c>
      <c r="S33" s="86">
        <f t="shared" si="1"/>
        <v>9.7999999999999989</v>
      </c>
      <c r="T33" s="87">
        <f t="shared" si="1"/>
        <v>9.7999999999999989</v>
      </c>
      <c r="U33" s="82">
        <f t="shared" si="1"/>
        <v>56.3</v>
      </c>
      <c r="V33" s="86">
        <f t="shared" si="1"/>
        <v>58.6</v>
      </c>
      <c r="W33" s="87">
        <f t="shared" si="1"/>
        <v>56.7</v>
      </c>
      <c r="X33" s="82">
        <f t="shared" si="1"/>
        <v>58</v>
      </c>
      <c r="Y33" s="86">
        <f t="shared" si="1"/>
        <v>53.8</v>
      </c>
      <c r="Z33" s="87">
        <f t="shared" si="1"/>
        <v>42.2</v>
      </c>
      <c r="AA33" s="82">
        <f t="shared" si="1"/>
        <v>41.6</v>
      </c>
      <c r="AB33" s="86">
        <f t="shared" si="1"/>
        <v>41.6</v>
      </c>
      <c r="AC33" s="87">
        <f t="shared" si="1"/>
        <v>41.6</v>
      </c>
      <c r="AD33" s="82">
        <f t="shared" si="1"/>
        <v>47.6</v>
      </c>
      <c r="AE33" s="86">
        <f t="shared" si="1"/>
        <v>47.6</v>
      </c>
      <c r="AF33" s="87">
        <f t="shared" si="1"/>
        <v>46.2</v>
      </c>
      <c r="AG33" s="82">
        <f t="shared" si="1"/>
        <v>46.2</v>
      </c>
      <c r="AH33" s="86">
        <f t="shared" si="1"/>
        <v>46</v>
      </c>
      <c r="AI33" s="87">
        <f t="shared" si="1"/>
        <v>40</v>
      </c>
      <c r="AJ33" s="82">
        <f t="shared" si="1"/>
        <v>21</v>
      </c>
      <c r="AK33" s="86">
        <f t="shared" si="1"/>
        <v>0</v>
      </c>
      <c r="AL33" s="87">
        <f t="shared" si="1"/>
        <v>0</v>
      </c>
      <c r="AM33" s="84">
        <f>SUM(C33:AL33)</f>
        <v>801.50000000000011</v>
      </c>
    </row>
    <row r="34" spans="2:39" ht="20.100000000000001" customHeight="1" thickBot="1" x14ac:dyDescent="0.2">
      <c r="B34" s="88" t="s">
        <v>129</v>
      </c>
      <c r="C34" s="89"/>
      <c r="D34" s="90">
        <f>SUM(C33:E33)</f>
        <v>0</v>
      </c>
      <c r="E34" s="90"/>
      <c r="F34" s="89"/>
      <c r="G34" s="90">
        <f>SUM(F33:H33)</f>
        <v>0</v>
      </c>
      <c r="H34" s="90"/>
      <c r="I34" s="89"/>
      <c r="J34" s="90">
        <f>SUM(I33:K33)</f>
        <v>1.7000000000000002</v>
      </c>
      <c r="K34" s="90"/>
      <c r="L34" s="89"/>
      <c r="M34" s="90">
        <f>SUM(L33:N33)</f>
        <v>7</v>
      </c>
      <c r="N34" s="90"/>
      <c r="O34" s="89"/>
      <c r="P34" s="90">
        <f>SUM(O33:Q33)</f>
        <v>23.2</v>
      </c>
      <c r="Q34" s="90"/>
      <c r="R34" s="89"/>
      <c r="S34" s="90">
        <f>SUM(R33:T33)</f>
        <v>24.599999999999998</v>
      </c>
      <c r="T34" s="90"/>
      <c r="U34" s="89"/>
      <c r="V34" s="90">
        <f>SUM(U33:W33)</f>
        <v>171.60000000000002</v>
      </c>
      <c r="W34" s="90"/>
      <c r="X34" s="89"/>
      <c r="Y34" s="90">
        <f>SUM(X33:Z33)</f>
        <v>154</v>
      </c>
      <c r="Z34" s="90"/>
      <c r="AA34" s="89"/>
      <c r="AB34" s="90">
        <f>SUM(AA33:AC33)</f>
        <v>124.80000000000001</v>
      </c>
      <c r="AC34" s="90"/>
      <c r="AD34" s="89"/>
      <c r="AE34" s="90">
        <f>SUM(AD33:AF33)</f>
        <v>141.4</v>
      </c>
      <c r="AF34" s="90"/>
      <c r="AG34" s="89"/>
      <c r="AH34" s="90">
        <f>SUM(AG33:AI33)</f>
        <v>132.19999999999999</v>
      </c>
      <c r="AI34" s="90"/>
      <c r="AJ34" s="89"/>
      <c r="AK34" s="90">
        <f>SUM(AJ33:AL33)</f>
        <v>21</v>
      </c>
      <c r="AL34" s="90"/>
      <c r="AM34" s="91">
        <f>SUM(AM8:AM32)</f>
        <v>801.5</v>
      </c>
    </row>
  </sheetData>
  <mergeCells count="15"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zoomScale="75" zoomScaleNormal="75" zoomScaleSheetLayoutView="80" workbookViewId="0">
      <selection activeCell="G25" sqref="G25"/>
    </sheetView>
  </sheetViews>
  <sheetFormatPr defaultRowHeight="13.5" x14ac:dyDescent="0.15"/>
  <cols>
    <col min="1" max="1" width="1.625" style="49" customWidth="1"/>
    <col min="2" max="2" width="5" style="49" customWidth="1"/>
    <col min="3" max="3" width="22.5" style="49" bestFit="1" customWidth="1"/>
    <col min="4" max="4" width="30" style="49" bestFit="1" customWidth="1"/>
    <col min="5" max="6" width="6" style="49" bestFit="1" customWidth="1"/>
    <col min="7" max="7" width="17.625" style="49" customWidth="1"/>
    <col min="8" max="8" width="10.625" style="49" customWidth="1"/>
    <col min="9" max="9" width="17.625" style="49" customWidth="1"/>
    <col min="10" max="10" width="10.625" style="49" customWidth="1"/>
    <col min="11" max="11" width="15.125" style="50" bestFit="1" customWidth="1"/>
    <col min="12" max="12" width="17.625" style="49" customWidth="1"/>
    <col min="13" max="13" width="10.625" style="49" customWidth="1"/>
    <col min="14" max="14" width="17.625" style="49" customWidth="1"/>
    <col min="15" max="15" width="10.625" style="49" customWidth="1"/>
    <col min="16" max="16" width="19.75" style="49" bestFit="1" customWidth="1"/>
    <col min="17" max="16384" width="9" style="49"/>
  </cols>
  <sheetData>
    <row r="1" spans="2:16" ht="9.9499999999999993" customHeight="1" x14ac:dyDescent="0.15"/>
    <row r="2" spans="2:16" ht="24.95" customHeight="1" thickBot="1" x14ac:dyDescent="0.2">
      <c r="B2" s="2" t="s">
        <v>247</v>
      </c>
      <c r="C2" s="5"/>
      <c r="D2" s="5"/>
      <c r="E2" s="51"/>
      <c r="F2" s="589"/>
      <c r="G2" s="590"/>
      <c r="H2" s="52"/>
      <c r="I2" s="52"/>
      <c r="J2" s="53"/>
      <c r="K2" s="54"/>
      <c r="L2" s="53"/>
      <c r="M2" s="55"/>
      <c r="P2" s="53"/>
    </row>
    <row r="3" spans="2:16" x14ac:dyDescent="0.15">
      <c r="B3" s="594" t="s">
        <v>131</v>
      </c>
      <c r="C3" s="587" t="s">
        <v>37</v>
      </c>
      <c r="D3" s="587" t="s">
        <v>130</v>
      </c>
      <c r="E3" s="591" t="s">
        <v>38</v>
      </c>
      <c r="F3" s="592"/>
      <c r="G3" s="56" t="s">
        <v>39</v>
      </c>
      <c r="H3" s="56" t="s">
        <v>133</v>
      </c>
      <c r="I3" s="56" t="s">
        <v>132</v>
      </c>
      <c r="J3" s="587" t="s">
        <v>97</v>
      </c>
      <c r="K3" s="57" t="s">
        <v>150</v>
      </c>
      <c r="L3" s="56" t="s">
        <v>40</v>
      </c>
      <c r="M3" s="56" t="s">
        <v>134</v>
      </c>
      <c r="N3" s="56" t="s">
        <v>41</v>
      </c>
      <c r="O3" s="56" t="s">
        <v>42</v>
      </c>
      <c r="P3" s="326" t="s">
        <v>43</v>
      </c>
    </row>
    <row r="4" spans="2:16" x14ac:dyDescent="0.15">
      <c r="B4" s="595"/>
      <c r="C4" s="588"/>
      <c r="D4" s="588"/>
      <c r="E4" s="58" t="s">
        <v>98</v>
      </c>
      <c r="F4" s="58" t="s">
        <v>9</v>
      </c>
      <c r="G4" s="59" t="s">
        <v>151</v>
      </c>
      <c r="H4" s="59" t="s">
        <v>152</v>
      </c>
      <c r="I4" s="59" t="s">
        <v>136</v>
      </c>
      <c r="J4" s="588"/>
      <c r="K4" s="60" t="s">
        <v>153</v>
      </c>
      <c r="L4" s="59" t="s">
        <v>154</v>
      </c>
      <c r="M4" s="59" t="s">
        <v>155</v>
      </c>
      <c r="N4" s="59" t="s">
        <v>137</v>
      </c>
      <c r="O4" s="59" t="s">
        <v>156</v>
      </c>
      <c r="P4" s="327" t="s">
        <v>157</v>
      </c>
    </row>
    <row r="5" spans="2:16" x14ac:dyDescent="0.15">
      <c r="B5" s="593" t="s">
        <v>191</v>
      </c>
      <c r="C5" s="322" t="s">
        <v>340</v>
      </c>
      <c r="D5" s="322" t="s">
        <v>385</v>
      </c>
      <c r="E5" s="322">
        <v>100</v>
      </c>
      <c r="F5" s="322" t="s">
        <v>158</v>
      </c>
      <c r="G5" s="322">
        <v>5940000</v>
      </c>
      <c r="H5" s="342">
        <v>0</v>
      </c>
      <c r="I5" s="322">
        <f>G5*(1-H5)</f>
        <v>5940000</v>
      </c>
      <c r="J5" s="322" t="s">
        <v>341</v>
      </c>
      <c r="K5" s="343">
        <v>0.1</v>
      </c>
      <c r="L5" s="322">
        <f>I5*K5</f>
        <v>594000</v>
      </c>
      <c r="M5" s="342">
        <v>0</v>
      </c>
      <c r="N5" s="322">
        <f>L5*M5/100</f>
        <v>0</v>
      </c>
      <c r="O5" s="322">
        <v>25</v>
      </c>
      <c r="P5" s="153">
        <f>IF(O5="","",(L5-N5)/O5)</f>
        <v>23760</v>
      </c>
    </row>
    <row r="6" spans="2:16" x14ac:dyDescent="0.15">
      <c r="B6" s="585"/>
      <c r="C6" s="322" t="s">
        <v>54</v>
      </c>
      <c r="D6" s="322" t="s">
        <v>46</v>
      </c>
      <c r="E6" s="344">
        <v>1000</v>
      </c>
      <c r="F6" s="345" t="s">
        <v>158</v>
      </c>
      <c r="G6" s="322">
        <v>6000000</v>
      </c>
      <c r="H6" s="342">
        <v>0.5</v>
      </c>
      <c r="I6" s="322">
        <f t="shared" ref="I6:I11" si="0">G6*(1-H6)</f>
        <v>3000000</v>
      </c>
      <c r="J6" s="322" t="s">
        <v>341</v>
      </c>
      <c r="K6" s="343">
        <v>0.1</v>
      </c>
      <c r="L6" s="322">
        <f t="shared" ref="L6:L39" si="1">I6*K6</f>
        <v>300000</v>
      </c>
      <c r="M6" s="342">
        <v>0</v>
      </c>
      <c r="N6" s="322">
        <f t="shared" ref="N6:N11" si="2">L6*M6/100</f>
        <v>0</v>
      </c>
      <c r="O6" s="322">
        <v>10</v>
      </c>
      <c r="P6" s="153">
        <f t="shared" ref="P6:P11" si="3">IF(O6="","",(L6-N6)/O6)</f>
        <v>30000</v>
      </c>
    </row>
    <row r="7" spans="2:16" x14ac:dyDescent="0.15">
      <c r="B7" s="585"/>
      <c r="C7" s="48"/>
      <c r="D7" s="48"/>
      <c r="E7" s="48"/>
      <c r="F7" s="48"/>
      <c r="G7" s="48"/>
      <c r="H7" s="62"/>
      <c r="I7" s="412">
        <f t="shared" si="0"/>
        <v>0</v>
      </c>
      <c r="J7" s="48"/>
      <c r="K7" s="61"/>
      <c r="L7" s="412">
        <f t="shared" si="1"/>
        <v>0</v>
      </c>
      <c r="M7" s="62"/>
      <c r="N7" s="412">
        <f t="shared" si="2"/>
        <v>0</v>
      </c>
      <c r="O7" s="48"/>
      <c r="P7" s="154" t="str">
        <f t="shared" si="3"/>
        <v/>
      </c>
    </row>
    <row r="8" spans="2:16" x14ac:dyDescent="0.15">
      <c r="B8" s="585"/>
      <c r="C8" s="48"/>
      <c r="D8" s="48"/>
      <c r="E8" s="48"/>
      <c r="F8" s="48"/>
      <c r="G8" s="48"/>
      <c r="H8" s="62"/>
      <c r="I8" s="412">
        <f t="shared" si="0"/>
        <v>0</v>
      </c>
      <c r="J8" s="48"/>
      <c r="K8" s="61"/>
      <c r="L8" s="412">
        <f t="shared" si="1"/>
        <v>0</v>
      </c>
      <c r="M8" s="62"/>
      <c r="N8" s="412">
        <f t="shared" si="2"/>
        <v>0</v>
      </c>
      <c r="O8" s="48"/>
      <c r="P8" s="154" t="str">
        <f t="shared" si="3"/>
        <v/>
      </c>
    </row>
    <row r="9" spans="2:16" x14ac:dyDescent="0.15">
      <c r="B9" s="585"/>
      <c r="C9" s="48"/>
      <c r="D9" s="48"/>
      <c r="E9" s="48"/>
      <c r="F9" s="48"/>
      <c r="G9" s="48"/>
      <c r="H9" s="62"/>
      <c r="I9" s="412">
        <f t="shared" si="0"/>
        <v>0</v>
      </c>
      <c r="J9" s="48"/>
      <c r="K9" s="61"/>
      <c r="L9" s="412">
        <f t="shared" si="1"/>
        <v>0</v>
      </c>
      <c r="M9" s="62"/>
      <c r="N9" s="412">
        <f t="shared" si="2"/>
        <v>0</v>
      </c>
      <c r="O9" s="48"/>
      <c r="P9" s="154" t="str">
        <f t="shared" si="3"/>
        <v/>
      </c>
    </row>
    <row r="10" spans="2:16" x14ac:dyDescent="0.15">
      <c r="B10" s="585"/>
      <c r="C10" s="48"/>
      <c r="D10" s="48"/>
      <c r="E10" s="48"/>
      <c r="F10" s="48"/>
      <c r="G10" s="48"/>
      <c r="H10" s="62"/>
      <c r="I10" s="412">
        <f t="shared" si="0"/>
        <v>0</v>
      </c>
      <c r="J10" s="48"/>
      <c r="K10" s="61"/>
      <c r="L10" s="412">
        <f t="shared" si="1"/>
        <v>0</v>
      </c>
      <c r="M10" s="62"/>
      <c r="N10" s="412">
        <f t="shared" si="2"/>
        <v>0</v>
      </c>
      <c r="O10" s="48"/>
      <c r="P10" s="154" t="str">
        <f t="shared" si="3"/>
        <v/>
      </c>
    </row>
    <row r="11" spans="2:16" x14ac:dyDescent="0.15">
      <c r="B11" s="585"/>
      <c r="C11" s="48"/>
      <c r="D11" s="48"/>
      <c r="E11" s="48"/>
      <c r="F11" s="48"/>
      <c r="G11" s="48"/>
      <c r="H11" s="62"/>
      <c r="I11" s="412">
        <f t="shared" si="0"/>
        <v>0</v>
      </c>
      <c r="J11" s="48"/>
      <c r="K11" s="61"/>
      <c r="L11" s="412">
        <f t="shared" si="1"/>
        <v>0</v>
      </c>
      <c r="M11" s="62"/>
      <c r="N11" s="412">
        <f t="shared" si="2"/>
        <v>0</v>
      </c>
      <c r="O11" s="48"/>
      <c r="P11" s="154" t="str">
        <f t="shared" si="3"/>
        <v/>
      </c>
    </row>
    <row r="12" spans="2:16" x14ac:dyDescent="0.15">
      <c r="B12" s="586"/>
      <c r="C12" s="63" t="s">
        <v>44</v>
      </c>
      <c r="D12" s="64"/>
      <c r="E12" s="64"/>
      <c r="F12" s="65"/>
      <c r="G12" s="64">
        <f>SUM(G5:G11)</f>
        <v>11940000</v>
      </c>
      <c r="H12" s="64"/>
      <c r="I12" s="64">
        <f>SUM(I5:I11)</f>
        <v>8940000</v>
      </c>
      <c r="J12" s="64"/>
      <c r="K12" s="66"/>
      <c r="L12" s="64">
        <f>SUM(L5:L11)</f>
        <v>894000</v>
      </c>
      <c r="M12" s="64"/>
      <c r="N12" s="64"/>
      <c r="O12" s="64"/>
      <c r="P12" s="328">
        <f>SUM(P5:P11)</f>
        <v>53760</v>
      </c>
    </row>
    <row r="13" spans="2:16" x14ac:dyDescent="0.15">
      <c r="B13" s="585" t="s">
        <v>375</v>
      </c>
      <c r="C13" s="48" t="s">
        <v>305</v>
      </c>
      <c r="D13" s="48" t="s">
        <v>306</v>
      </c>
      <c r="E13" s="48">
        <v>1</v>
      </c>
      <c r="F13" s="48" t="s">
        <v>307</v>
      </c>
      <c r="G13" s="48">
        <v>379050</v>
      </c>
      <c r="H13" s="62">
        <v>0.5</v>
      </c>
      <c r="I13" s="48">
        <f t="shared" ref="I13:I41" si="4">G13*(1-H13)</f>
        <v>189525</v>
      </c>
      <c r="J13" s="48" t="s">
        <v>342</v>
      </c>
      <c r="K13" s="61">
        <v>0.1</v>
      </c>
      <c r="L13" s="48">
        <f t="shared" si="1"/>
        <v>18952.5</v>
      </c>
      <c r="M13" s="62">
        <v>0</v>
      </c>
      <c r="N13" s="48">
        <f t="shared" ref="N13:N39" si="5">L13*M13</f>
        <v>0</v>
      </c>
      <c r="O13" s="48">
        <v>7</v>
      </c>
      <c r="P13" s="154">
        <f t="shared" ref="P13:P39" si="6">IF(O13="","",(L13-N13)/O13)</f>
        <v>2707.5</v>
      </c>
    </row>
    <row r="14" spans="2:16" x14ac:dyDescent="0.15">
      <c r="B14" s="585"/>
      <c r="C14" s="317" t="s">
        <v>308</v>
      </c>
      <c r="D14" s="317" t="s">
        <v>309</v>
      </c>
      <c r="E14" s="317">
        <v>1</v>
      </c>
      <c r="F14" s="317" t="s">
        <v>310</v>
      </c>
      <c r="G14" s="317">
        <v>5197500</v>
      </c>
      <c r="H14" s="62">
        <v>0.5</v>
      </c>
      <c r="I14" s="48">
        <f t="shared" si="4"/>
        <v>2598750</v>
      </c>
      <c r="J14" s="317" t="s">
        <v>341</v>
      </c>
      <c r="K14" s="339">
        <v>0.1</v>
      </c>
      <c r="L14" s="48">
        <f t="shared" si="1"/>
        <v>259875</v>
      </c>
      <c r="M14" s="338">
        <v>0</v>
      </c>
      <c r="N14" s="48">
        <f t="shared" si="5"/>
        <v>0</v>
      </c>
      <c r="O14" s="317">
        <v>7</v>
      </c>
      <c r="P14" s="154">
        <f t="shared" si="6"/>
        <v>37125</v>
      </c>
    </row>
    <row r="15" spans="2:16" x14ac:dyDescent="0.15">
      <c r="B15" s="585"/>
      <c r="C15" s="317" t="s">
        <v>311</v>
      </c>
      <c r="D15" s="317" t="s">
        <v>312</v>
      </c>
      <c r="E15" s="317">
        <v>1</v>
      </c>
      <c r="F15" s="317" t="s">
        <v>310</v>
      </c>
      <c r="G15" s="317">
        <v>1365000</v>
      </c>
      <c r="H15" s="62">
        <v>0.5</v>
      </c>
      <c r="I15" s="48">
        <f t="shared" si="4"/>
        <v>682500</v>
      </c>
      <c r="J15" s="48" t="s">
        <v>341</v>
      </c>
      <c r="K15" s="339">
        <v>0.1</v>
      </c>
      <c r="L15" s="48">
        <f t="shared" si="1"/>
        <v>68250</v>
      </c>
      <c r="M15" s="338">
        <v>0</v>
      </c>
      <c r="N15" s="48">
        <f t="shared" si="5"/>
        <v>0</v>
      </c>
      <c r="O15" s="317">
        <v>7</v>
      </c>
      <c r="P15" s="154">
        <f t="shared" si="6"/>
        <v>9750</v>
      </c>
    </row>
    <row r="16" spans="2:16" x14ac:dyDescent="0.15">
      <c r="B16" s="585"/>
      <c r="C16" s="317" t="s">
        <v>313</v>
      </c>
      <c r="D16" s="317" t="s">
        <v>314</v>
      </c>
      <c r="E16" s="317">
        <v>1</v>
      </c>
      <c r="F16" s="317" t="s">
        <v>315</v>
      </c>
      <c r="G16" s="317">
        <v>2100000</v>
      </c>
      <c r="H16" s="62">
        <v>0.5</v>
      </c>
      <c r="I16" s="48">
        <f t="shared" si="4"/>
        <v>1050000</v>
      </c>
      <c r="J16" s="317" t="s">
        <v>341</v>
      </c>
      <c r="K16" s="339">
        <v>0.1</v>
      </c>
      <c r="L16" s="48">
        <f t="shared" si="1"/>
        <v>105000</v>
      </c>
      <c r="M16" s="338">
        <v>0</v>
      </c>
      <c r="N16" s="48">
        <f t="shared" si="5"/>
        <v>0</v>
      </c>
      <c r="O16" s="317">
        <v>7</v>
      </c>
      <c r="P16" s="154">
        <f t="shared" si="6"/>
        <v>15000</v>
      </c>
    </row>
    <row r="17" spans="2:16" x14ac:dyDescent="0.15">
      <c r="B17" s="585"/>
      <c r="C17" s="317" t="s">
        <v>316</v>
      </c>
      <c r="D17" s="317" t="s">
        <v>317</v>
      </c>
      <c r="E17" s="317">
        <v>1</v>
      </c>
      <c r="F17" s="317" t="s">
        <v>315</v>
      </c>
      <c r="G17" s="317">
        <v>3528000</v>
      </c>
      <c r="H17" s="62">
        <v>0.5</v>
      </c>
      <c r="I17" s="48">
        <f t="shared" si="4"/>
        <v>1764000</v>
      </c>
      <c r="J17" s="48" t="s">
        <v>341</v>
      </c>
      <c r="K17" s="339">
        <v>0.1</v>
      </c>
      <c r="L17" s="48">
        <f t="shared" si="1"/>
        <v>176400</v>
      </c>
      <c r="M17" s="338">
        <v>0</v>
      </c>
      <c r="N17" s="48">
        <f t="shared" si="5"/>
        <v>0</v>
      </c>
      <c r="O17" s="317">
        <v>7</v>
      </c>
      <c r="P17" s="154">
        <f t="shared" si="6"/>
        <v>25200</v>
      </c>
    </row>
    <row r="18" spans="2:16" x14ac:dyDescent="0.15">
      <c r="B18" s="585"/>
      <c r="C18" s="317" t="s">
        <v>318</v>
      </c>
      <c r="D18" s="317" t="s">
        <v>319</v>
      </c>
      <c r="E18" s="317">
        <v>1</v>
      </c>
      <c r="F18" s="317" t="s">
        <v>310</v>
      </c>
      <c r="G18" s="317">
        <v>301350</v>
      </c>
      <c r="H18" s="62">
        <v>0.5</v>
      </c>
      <c r="I18" s="48">
        <f t="shared" si="4"/>
        <v>150675</v>
      </c>
      <c r="J18" s="317" t="s">
        <v>341</v>
      </c>
      <c r="K18" s="339">
        <v>0.1</v>
      </c>
      <c r="L18" s="48">
        <f t="shared" si="1"/>
        <v>15067.5</v>
      </c>
      <c r="M18" s="338">
        <v>0</v>
      </c>
      <c r="N18" s="48">
        <f t="shared" si="5"/>
        <v>0</v>
      </c>
      <c r="O18" s="317">
        <v>7</v>
      </c>
      <c r="P18" s="154">
        <f t="shared" si="6"/>
        <v>2152.5</v>
      </c>
    </row>
    <row r="19" spans="2:16" x14ac:dyDescent="0.15">
      <c r="B19" s="585"/>
      <c r="C19" s="317" t="s">
        <v>320</v>
      </c>
      <c r="D19" s="317" t="s">
        <v>321</v>
      </c>
      <c r="E19" s="317">
        <v>1</v>
      </c>
      <c r="F19" s="317" t="s">
        <v>310</v>
      </c>
      <c r="G19" s="317">
        <v>1035000</v>
      </c>
      <c r="H19" s="62">
        <v>0.5</v>
      </c>
      <c r="I19" s="48">
        <f t="shared" si="4"/>
        <v>517500</v>
      </c>
      <c r="J19" s="48" t="s">
        <v>341</v>
      </c>
      <c r="K19" s="339">
        <v>0.1</v>
      </c>
      <c r="L19" s="48">
        <f t="shared" si="1"/>
        <v>51750</v>
      </c>
      <c r="M19" s="338">
        <v>0</v>
      </c>
      <c r="N19" s="48">
        <f t="shared" si="5"/>
        <v>0</v>
      </c>
      <c r="O19" s="317">
        <v>7</v>
      </c>
      <c r="P19" s="154">
        <f t="shared" si="6"/>
        <v>7392.8571428571431</v>
      </c>
    </row>
    <row r="20" spans="2:16" x14ac:dyDescent="0.15">
      <c r="B20" s="585"/>
      <c r="C20" s="317" t="s">
        <v>322</v>
      </c>
      <c r="D20" s="317" t="s">
        <v>323</v>
      </c>
      <c r="E20" s="317">
        <v>1</v>
      </c>
      <c r="F20" s="317" t="s">
        <v>310</v>
      </c>
      <c r="G20" s="317">
        <v>219975</v>
      </c>
      <c r="H20" s="62">
        <v>0.5</v>
      </c>
      <c r="I20" s="48">
        <f t="shared" si="4"/>
        <v>109987.5</v>
      </c>
      <c r="J20" s="317" t="s">
        <v>341</v>
      </c>
      <c r="K20" s="339">
        <v>0.1</v>
      </c>
      <c r="L20" s="48">
        <f t="shared" si="1"/>
        <v>10998.75</v>
      </c>
      <c r="M20" s="338">
        <v>0</v>
      </c>
      <c r="N20" s="48">
        <f t="shared" si="5"/>
        <v>0</v>
      </c>
      <c r="O20" s="317">
        <v>7</v>
      </c>
      <c r="P20" s="154">
        <f t="shared" si="6"/>
        <v>1571.25</v>
      </c>
    </row>
    <row r="21" spans="2:16" x14ac:dyDescent="0.15">
      <c r="B21" s="585"/>
      <c r="C21" s="317" t="s">
        <v>324</v>
      </c>
      <c r="D21" s="317" t="s">
        <v>325</v>
      </c>
      <c r="E21" s="317">
        <v>1</v>
      </c>
      <c r="F21" s="317" t="s">
        <v>310</v>
      </c>
      <c r="G21" s="317">
        <v>675000</v>
      </c>
      <c r="H21" s="62">
        <v>0.5</v>
      </c>
      <c r="I21" s="48">
        <f t="shared" si="4"/>
        <v>337500</v>
      </c>
      <c r="J21" s="48" t="s">
        <v>341</v>
      </c>
      <c r="K21" s="339">
        <v>0.1</v>
      </c>
      <c r="L21" s="48">
        <f t="shared" si="1"/>
        <v>33750</v>
      </c>
      <c r="M21" s="338">
        <v>0</v>
      </c>
      <c r="N21" s="48">
        <f t="shared" si="5"/>
        <v>0</v>
      </c>
      <c r="O21" s="317">
        <v>7</v>
      </c>
      <c r="P21" s="154">
        <f t="shared" si="6"/>
        <v>4821.4285714285716</v>
      </c>
    </row>
    <row r="22" spans="2:16" x14ac:dyDescent="0.15">
      <c r="B22" s="585"/>
      <c r="C22" s="317" t="s">
        <v>326</v>
      </c>
      <c r="D22" s="317" t="s">
        <v>327</v>
      </c>
      <c r="E22" s="317">
        <v>1</v>
      </c>
      <c r="F22" s="317" t="s">
        <v>315</v>
      </c>
      <c r="G22" s="317">
        <v>1114050</v>
      </c>
      <c r="H22" s="62">
        <v>0.5</v>
      </c>
      <c r="I22" s="48">
        <f t="shared" si="4"/>
        <v>557025</v>
      </c>
      <c r="J22" s="317" t="s">
        <v>341</v>
      </c>
      <c r="K22" s="339">
        <v>0.1</v>
      </c>
      <c r="L22" s="48">
        <f t="shared" si="1"/>
        <v>55702.5</v>
      </c>
      <c r="M22" s="338">
        <v>0</v>
      </c>
      <c r="N22" s="48">
        <f t="shared" si="5"/>
        <v>0</v>
      </c>
      <c r="O22" s="317">
        <v>7</v>
      </c>
      <c r="P22" s="154">
        <f t="shared" si="6"/>
        <v>7957.5</v>
      </c>
    </row>
    <row r="23" spans="2:16" x14ac:dyDescent="0.15">
      <c r="B23" s="585"/>
      <c r="C23" s="317" t="s">
        <v>328</v>
      </c>
      <c r="D23" s="317" t="s">
        <v>329</v>
      </c>
      <c r="E23" s="317">
        <v>1</v>
      </c>
      <c r="F23" s="317" t="s">
        <v>310</v>
      </c>
      <c r="G23" s="317">
        <v>528150</v>
      </c>
      <c r="H23" s="62">
        <v>0.5</v>
      </c>
      <c r="I23" s="48">
        <f t="shared" si="4"/>
        <v>264075</v>
      </c>
      <c r="J23" s="48" t="s">
        <v>341</v>
      </c>
      <c r="K23" s="339">
        <v>0.1</v>
      </c>
      <c r="L23" s="48">
        <f t="shared" si="1"/>
        <v>26407.5</v>
      </c>
      <c r="M23" s="338">
        <v>0</v>
      </c>
      <c r="N23" s="48">
        <f t="shared" si="5"/>
        <v>0</v>
      </c>
      <c r="O23" s="317">
        <v>7</v>
      </c>
      <c r="P23" s="154">
        <f t="shared" si="6"/>
        <v>3772.5</v>
      </c>
    </row>
    <row r="24" spans="2:16" ht="14.25" customHeight="1" x14ac:dyDescent="0.15">
      <c r="B24" s="585"/>
      <c r="C24" s="48" t="s">
        <v>330</v>
      </c>
      <c r="D24" s="48" t="s">
        <v>331</v>
      </c>
      <c r="E24" s="48">
        <v>1</v>
      </c>
      <c r="F24" s="48" t="s">
        <v>315</v>
      </c>
      <c r="G24" s="48">
        <v>4088700</v>
      </c>
      <c r="H24" s="62">
        <v>0.5</v>
      </c>
      <c r="I24" s="48">
        <f t="shared" si="4"/>
        <v>2044350</v>
      </c>
      <c r="J24" s="317" t="s">
        <v>341</v>
      </c>
      <c r="K24" s="61">
        <v>0.1</v>
      </c>
      <c r="L24" s="48">
        <f t="shared" si="1"/>
        <v>204435</v>
      </c>
      <c r="M24" s="338">
        <v>0</v>
      </c>
      <c r="N24" s="48">
        <f t="shared" si="5"/>
        <v>0</v>
      </c>
      <c r="O24" s="48">
        <v>7</v>
      </c>
      <c r="P24" s="154">
        <f t="shared" si="6"/>
        <v>29205</v>
      </c>
    </row>
    <row r="25" spans="2:16" x14ac:dyDescent="0.15">
      <c r="B25" s="585"/>
      <c r="C25" s="48" t="s">
        <v>332</v>
      </c>
      <c r="D25" s="48" t="s">
        <v>333</v>
      </c>
      <c r="E25" s="48">
        <v>1</v>
      </c>
      <c r="F25" s="48" t="s">
        <v>315</v>
      </c>
      <c r="G25" s="48">
        <v>655200</v>
      </c>
      <c r="H25" s="62">
        <v>0.5</v>
      </c>
      <c r="I25" s="48">
        <f t="shared" si="4"/>
        <v>327600</v>
      </c>
      <c r="J25" s="48" t="s">
        <v>341</v>
      </c>
      <c r="K25" s="61">
        <v>0.1</v>
      </c>
      <c r="L25" s="48">
        <f t="shared" si="1"/>
        <v>32760</v>
      </c>
      <c r="M25" s="338">
        <v>0</v>
      </c>
      <c r="N25" s="48">
        <f t="shared" si="5"/>
        <v>0</v>
      </c>
      <c r="O25" s="48">
        <v>7</v>
      </c>
      <c r="P25" s="154">
        <f t="shared" si="6"/>
        <v>4680</v>
      </c>
    </row>
    <row r="26" spans="2:16" x14ac:dyDescent="0.15">
      <c r="B26" s="585"/>
      <c r="C26" s="48" t="s">
        <v>383</v>
      </c>
      <c r="D26" s="48" t="s">
        <v>384</v>
      </c>
      <c r="E26" s="48">
        <v>1</v>
      </c>
      <c r="F26" s="48" t="s">
        <v>315</v>
      </c>
      <c r="G26" s="48">
        <v>1500000</v>
      </c>
      <c r="H26" s="342">
        <v>0</v>
      </c>
      <c r="I26" s="48">
        <f t="shared" si="4"/>
        <v>1500000</v>
      </c>
      <c r="J26" s="48" t="s">
        <v>341</v>
      </c>
      <c r="K26" s="61">
        <v>0.1</v>
      </c>
      <c r="L26" s="48">
        <f t="shared" si="1"/>
        <v>150000</v>
      </c>
      <c r="M26" s="338">
        <v>0</v>
      </c>
      <c r="N26" s="48">
        <f t="shared" si="5"/>
        <v>0</v>
      </c>
      <c r="O26" s="48">
        <v>2</v>
      </c>
      <c r="P26" s="154">
        <f t="shared" si="6"/>
        <v>75000</v>
      </c>
    </row>
    <row r="27" spans="2:16" x14ac:dyDescent="0.15">
      <c r="B27" s="585"/>
      <c r="C27" s="48" t="s">
        <v>334</v>
      </c>
      <c r="D27" s="48"/>
      <c r="E27" s="48">
        <v>5</v>
      </c>
      <c r="F27" s="48" t="s">
        <v>335</v>
      </c>
      <c r="G27" s="48">
        <v>1330000</v>
      </c>
      <c r="H27" s="62">
        <v>0.5</v>
      </c>
      <c r="I27" s="48">
        <f t="shared" si="4"/>
        <v>665000</v>
      </c>
      <c r="J27" s="317" t="s">
        <v>341</v>
      </c>
      <c r="K27" s="61">
        <v>0.1</v>
      </c>
      <c r="L27" s="48">
        <f t="shared" si="1"/>
        <v>66500</v>
      </c>
      <c r="M27" s="338">
        <v>0</v>
      </c>
      <c r="N27" s="48">
        <f t="shared" si="5"/>
        <v>0</v>
      </c>
      <c r="O27" s="48">
        <v>7</v>
      </c>
      <c r="P27" s="154">
        <f t="shared" si="6"/>
        <v>9500</v>
      </c>
    </row>
    <row r="28" spans="2:16" x14ac:dyDescent="0.15">
      <c r="B28" s="585"/>
      <c r="C28" s="48" t="s">
        <v>338</v>
      </c>
      <c r="D28" s="48" t="s">
        <v>339</v>
      </c>
      <c r="E28" s="48">
        <v>1</v>
      </c>
      <c r="F28" s="48" t="s">
        <v>336</v>
      </c>
      <c r="G28" s="48">
        <v>1000000</v>
      </c>
      <c r="H28" s="62">
        <v>0.5</v>
      </c>
      <c r="I28" s="48">
        <f t="shared" si="4"/>
        <v>500000</v>
      </c>
      <c r="J28" s="317" t="s">
        <v>342</v>
      </c>
      <c r="K28" s="61">
        <v>0.1</v>
      </c>
      <c r="L28" s="48">
        <f t="shared" si="1"/>
        <v>50000</v>
      </c>
      <c r="M28" s="338">
        <v>0</v>
      </c>
      <c r="N28" s="48">
        <f t="shared" si="5"/>
        <v>0</v>
      </c>
      <c r="O28" s="48">
        <v>7</v>
      </c>
      <c r="P28" s="154">
        <f t="shared" si="6"/>
        <v>7142.8571428571431</v>
      </c>
    </row>
    <row r="29" spans="2:16" x14ac:dyDescent="0.15">
      <c r="B29" s="585"/>
      <c r="C29" s="317"/>
      <c r="D29" s="317"/>
      <c r="E29" s="317"/>
      <c r="F29" s="317"/>
      <c r="G29" s="317"/>
      <c r="H29" s="338"/>
      <c r="I29" s="412">
        <f t="shared" ref="I29:I32" si="7">G29*(1-H29)</f>
        <v>0</v>
      </c>
      <c r="J29" s="48"/>
      <c r="K29" s="61"/>
      <c r="L29" s="412">
        <f t="shared" ref="L29:L32" si="8">I29*K29</f>
        <v>0</v>
      </c>
      <c r="M29" s="62"/>
      <c r="N29" s="412">
        <f t="shared" ref="N29:N32" si="9">L29*M29</f>
        <v>0</v>
      </c>
      <c r="O29" s="317"/>
      <c r="P29" s="154"/>
    </row>
    <row r="30" spans="2:16" x14ac:dyDescent="0.15">
      <c r="B30" s="585"/>
      <c r="C30" s="317"/>
      <c r="D30" s="317"/>
      <c r="E30" s="317"/>
      <c r="F30" s="317"/>
      <c r="G30" s="317"/>
      <c r="H30" s="338"/>
      <c r="I30" s="412">
        <f t="shared" si="7"/>
        <v>0</v>
      </c>
      <c r="J30" s="48"/>
      <c r="K30" s="61"/>
      <c r="L30" s="412">
        <f t="shared" si="8"/>
        <v>0</v>
      </c>
      <c r="M30" s="62"/>
      <c r="N30" s="412">
        <f t="shared" si="9"/>
        <v>0</v>
      </c>
      <c r="O30" s="317"/>
      <c r="P30" s="154"/>
    </row>
    <row r="31" spans="2:16" x14ac:dyDescent="0.15">
      <c r="B31" s="585"/>
      <c r="C31" s="317"/>
      <c r="D31" s="317"/>
      <c r="E31" s="317"/>
      <c r="F31" s="317"/>
      <c r="G31" s="317"/>
      <c r="H31" s="338"/>
      <c r="I31" s="412">
        <f t="shared" si="7"/>
        <v>0</v>
      </c>
      <c r="J31" s="48"/>
      <c r="K31" s="61"/>
      <c r="L31" s="412">
        <f t="shared" si="8"/>
        <v>0</v>
      </c>
      <c r="M31" s="62"/>
      <c r="N31" s="412">
        <f t="shared" si="9"/>
        <v>0</v>
      </c>
      <c r="O31" s="317"/>
      <c r="P31" s="154"/>
    </row>
    <row r="32" spans="2:16" x14ac:dyDescent="0.15">
      <c r="B32" s="585"/>
      <c r="C32" s="317"/>
      <c r="D32" s="317"/>
      <c r="E32" s="317"/>
      <c r="F32" s="317"/>
      <c r="G32" s="317"/>
      <c r="H32" s="338"/>
      <c r="I32" s="412">
        <f t="shared" si="7"/>
        <v>0</v>
      </c>
      <c r="J32" s="48"/>
      <c r="K32" s="61"/>
      <c r="L32" s="412">
        <f t="shared" si="8"/>
        <v>0</v>
      </c>
      <c r="M32" s="62"/>
      <c r="N32" s="412">
        <f t="shared" si="9"/>
        <v>0</v>
      </c>
      <c r="O32" s="317"/>
      <c r="P32" s="154"/>
    </row>
    <row r="33" spans="2:16" x14ac:dyDescent="0.15">
      <c r="B33" s="585"/>
      <c r="C33" s="48"/>
      <c r="D33" s="48"/>
      <c r="E33" s="67"/>
      <c r="F33" s="48"/>
      <c r="G33" s="48"/>
      <c r="H33" s="62"/>
      <c r="I33" s="412">
        <f t="shared" si="4"/>
        <v>0</v>
      </c>
      <c r="J33" s="48"/>
      <c r="K33" s="61"/>
      <c r="L33" s="412">
        <f t="shared" si="1"/>
        <v>0</v>
      </c>
      <c r="M33" s="62"/>
      <c r="N33" s="412">
        <f t="shared" si="5"/>
        <v>0</v>
      </c>
      <c r="O33" s="48"/>
      <c r="P33" s="154" t="str">
        <f t="shared" si="6"/>
        <v/>
      </c>
    </row>
    <row r="34" spans="2:16" x14ac:dyDescent="0.15">
      <c r="B34" s="585"/>
      <c r="C34" s="48"/>
      <c r="D34" s="48"/>
      <c r="E34" s="67"/>
      <c r="F34" s="48"/>
      <c r="G34" s="48"/>
      <c r="H34" s="62"/>
      <c r="I34" s="412">
        <f t="shared" si="4"/>
        <v>0</v>
      </c>
      <c r="J34" s="48"/>
      <c r="K34" s="61"/>
      <c r="L34" s="412">
        <f t="shared" si="1"/>
        <v>0</v>
      </c>
      <c r="M34" s="62"/>
      <c r="N34" s="412">
        <f t="shared" si="5"/>
        <v>0</v>
      </c>
      <c r="O34" s="48"/>
      <c r="P34" s="154" t="str">
        <f t="shared" si="6"/>
        <v/>
      </c>
    </row>
    <row r="35" spans="2:16" x14ac:dyDescent="0.15">
      <c r="B35" s="585"/>
      <c r="C35" s="48"/>
      <c r="D35" s="48"/>
      <c r="E35" s="48"/>
      <c r="F35" s="48"/>
      <c r="G35" s="48"/>
      <c r="H35" s="62"/>
      <c r="I35" s="412">
        <f t="shared" si="4"/>
        <v>0</v>
      </c>
      <c r="J35" s="48"/>
      <c r="K35" s="61"/>
      <c r="L35" s="412">
        <f t="shared" si="1"/>
        <v>0</v>
      </c>
      <c r="M35" s="62"/>
      <c r="N35" s="412">
        <f t="shared" si="5"/>
        <v>0</v>
      </c>
      <c r="O35" s="48"/>
      <c r="P35" s="154"/>
    </row>
    <row r="36" spans="2:16" x14ac:dyDescent="0.15">
      <c r="B36" s="585"/>
      <c r="C36" s="48"/>
      <c r="D36" s="48"/>
      <c r="E36" s="48"/>
      <c r="F36" s="48"/>
      <c r="G36" s="48"/>
      <c r="H36" s="62"/>
      <c r="I36" s="412">
        <f t="shared" si="4"/>
        <v>0</v>
      </c>
      <c r="J36" s="48"/>
      <c r="K36" s="61"/>
      <c r="L36" s="412">
        <f t="shared" si="1"/>
        <v>0</v>
      </c>
      <c r="M36" s="62"/>
      <c r="N36" s="412">
        <f t="shared" si="5"/>
        <v>0</v>
      </c>
      <c r="O36" s="48"/>
      <c r="P36" s="154"/>
    </row>
    <row r="37" spans="2:16" x14ac:dyDescent="0.15">
      <c r="B37" s="585"/>
      <c r="C37" s="48"/>
      <c r="D37" s="48"/>
      <c r="E37" s="48"/>
      <c r="F37" s="48"/>
      <c r="G37" s="48"/>
      <c r="H37" s="62"/>
      <c r="I37" s="412">
        <f t="shared" si="4"/>
        <v>0</v>
      </c>
      <c r="J37" s="48"/>
      <c r="K37" s="61"/>
      <c r="L37" s="412">
        <f t="shared" si="1"/>
        <v>0</v>
      </c>
      <c r="M37" s="62"/>
      <c r="N37" s="412">
        <f t="shared" si="5"/>
        <v>0</v>
      </c>
      <c r="O37" s="48"/>
      <c r="P37" s="154"/>
    </row>
    <row r="38" spans="2:16" x14ac:dyDescent="0.15">
      <c r="B38" s="585"/>
      <c r="C38" s="48"/>
      <c r="D38" s="48"/>
      <c r="E38" s="48"/>
      <c r="F38" s="48"/>
      <c r="G38" s="48"/>
      <c r="H38" s="62"/>
      <c r="I38" s="412">
        <f t="shared" si="4"/>
        <v>0</v>
      </c>
      <c r="J38" s="48"/>
      <c r="K38" s="61"/>
      <c r="L38" s="412">
        <f t="shared" si="1"/>
        <v>0</v>
      </c>
      <c r="M38" s="62"/>
      <c r="N38" s="412">
        <f t="shared" si="5"/>
        <v>0</v>
      </c>
      <c r="O38" s="48"/>
      <c r="P38" s="154" t="str">
        <f t="shared" si="6"/>
        <v/>
      </c>
    </row>
    <row r="39" spans="2:16" x14ac:dyDescent="0.15">
      <c r="B39" s="585"/>
      <c r="C39" s="48"/>
      <c r="D39" s="48"/>
      <c r="E39" s="48"/>
      <c r="F39" s="48"/>
      <c r="G39" s="48"/>
      <c r="H39" s="62"/>
      <c r="I39" s="412">
        <f t="shared" si="4"/>
        <v>0</v>
      </c>
      <c r="J39" s="48"/>
      <c r="K39" s="61"/>
      <c r="L39" s="412">
        <f t="shared" si="1"/>
        <v>0</v>
      </c>
      <c r="M39" s="62"/>
      <c r="N39" s="412">
        <f t="shared" si="5"/>
        <v>0</v>
      </c>
      <c r="O39" s="48"/>
      <c r="P39" s="154" t="str">
        <f t="shared" si="6"/>
        <v/>
      </c>
    </row>
    <row r="40" spans="2:16" x14ac:dyDescent="0.15">
      <c r="B40" s="586"/>
      <c r="C40" s="64" t="s">
        <v>45</v>
      </c>
      <c r="D40" s="64"/>
      <c r="E40" s="64"/>
      <c r="F40" s="65"/>
      <c r="G40" s="64">
        <f>SUM(G13:G39)</f>
        <v>25016975</v>
      </c>
      <c r="H40" s="64"/>
      <c r="I40" s="64">
        <f>SUM(I13:I39)</f>
        <v>13258487.5</v>
      </c>
      <c r="J40" s="64"/>
      <c r="K40" s="66"/>
      <c r="L40" s="64">
        <f>SUM(L13:L39)</f>
        <v>1325848.75</v>
      </c>
      <c r="M40" s="64"/>
      <c r="N40" s="64"/>
      <c r="O40" s="64"/>
      <c r="P40" s="328">
        <f>SUM(P13:P39)</f>
        <v>242978.39285714284</v>
      </c>
    </row>
    <row r="41" spans="2:16" x14ac:dyDescent="0.15">
      <c r="B41" s="584" t="s">
        <v>135</v>
      </c>
      <c r="C41" s="48"/>
      <c r="D41" s="48"/>
      <c r="E41" s="48"/>
      <c r="F41" s="48"/>
      <c r="G41" s="48"/>
      <c r="H41" s="68"/>
      <c r="I41" s="412">
        <f t="shared" si="4"/>
        <v>0</v>
      </c>
      <c r="J41" s="48"/>
      <c r="K41" s="61"/>
      <c r="L41" s="412">
        <f>I41*K41</f>
        <v>0</v>
      </c>
      <c r="M41" s="68"/>
      <c r="N41" s="412">
        <f>L41*M41</f>
        <v>0</v>
      </c>
      <c r="O41" s="48"/>
      <c r="P41" s="154" t="str">
        <f>IF(O41="","",(L41-N41)/O41)</f>
        <v/>
      </c>
    </row>
    <row r="42" spans="2:16" x14ac:dyDescent="0.15">
      <c r="B42" s="585"/>
      <c r="C42" s="48"/>
      <c r="D42" s="48"/>
      <c r="E42" s="48"/>
      <c r="F42" s="48"/>
      <c r="G42" s="48"/>
      <c r="H42" s="68"/>
      <c r="I42" s="412">
        <f t="shared" ref="I42" si="10">G42*(1-H42)</f>
        <v>0</v>
      </c>
      <c r="J42" s="48"/>
      <c r="K42" s="61"/>
      <c r="L42" s="412">
        <f>I42*K42</f>
        <v>0</v>
      </c>
      <c r="M42" s="68"/>
      <c r="N42" s="412">
        <f>L42*M42</f>
        <v>0</v>
      </c>
      <c r="O42" s="48"/>
      <c r="P42" s="154" t="str">
        <f>IF(O42="","",(L42-N42)/O42)</f>
        <v/>
      </c>
    </row>
    <row r="43" spans="2:16" x14ac:dyDescent="0.15">
      <c r="B43" s="585"/>
      <c r="C43" s="48"/>
      <c r="D43" s="48"/>
      <c r="E43" s="48"/>
      <c r="F43" s="48"/>
      <c r="G43" s="48"/>
      <c r="H43" s="68"/>
      <c r="I43" s="412">
        <f t="shared" ref="I43" si="11">G43*(1-H43)</f>
        <v>0</v>
      </c>
      <c r="J43" s="48"/>
      <c r="K43" s="61"/>
      <c r="L43" s="412">
        <f>I43*K43</f>
        <v>0</v>
      </c>
      <c r="M43" s="68"/>
      <c r="N43" s="412">
        <f>L43*M43</f>
        <v>0</v>
      </c>
      <c r="O43" s="48"/>
      <c r="P43" s="154" t="str">
        <f>IF(O43="","",(L43-N43)/O43)</f>
        <v/>
      </c>
    </row>
    <row r="44" spans="2:16" x14ac:dyDescent="0.15">
      <c r="B44" s="585"/>
      <c r="C44" s="48"/>
      <c r="D44" s="48"/>
      <c r="E44" s="48"/>
      <c r="F44" s="48"/>
      <c r="G44" s="48"/>
      <c r="H44" s="68"/>
      <c r="I44" s="412">
        <f t="shared" ref="I44" si="12">G44*(1-H44)</f>
        <v>0</v>
      </c>
      <c r="J44" s="48"/>
      <c r="K44" s="61"/>
      <c r="L44" s="412">
        <f>I44*K44</f>
        <v>0</v>
      </c>
      <c r="M44" s="68"/>
      <c r="N44" s="412">
        <f>L44*M44</f>
        <v>0</v>
      </c>
      <c r="O44" s="48"/>
      <c r="P44" s="154" t="str">
        <f>IF(O44="","",(L44-N44)/O44)</f>
        <v/>
      </c>
    </row>
    <row r="45" spans="2:16" x14ac:dyDescent="0.15">
      <c r="B45" s="586"/>
      <c r="C45" s="69" t="s">
        <v>45</v>
      </c>
      <c r="D45" s="64"/>
      <c r="E45" s="64"/>
      <c r="F45" s="65"/>
      <c r="G45" s="64">
        <f>SUM(G41:G44)</f>
        <v>0</v>
      </c>
      <c r="H45" s="64"/>
      <c r="I45" s="64">
        <f>SUM(I41:I44)</f>
        <v>0</v>
      </c>
      <c r="J45" s="64"/>
      <c r="K45" s="66"/>
      <c r="L45" s="64">
        <f>SUM(L41:L44)</f>
        <v>0</v>
      </c>
      <c r="M45" s="64"/>
      <c r="N45" s="64"/>
      <c r="O45" s="64"/>
      <c r="P45" s="328">
        <f>SUM(P41:P44)</f>
        <v>0</v>
      </c>
    </row>
    <row r="46" spans="2:16" ht="14.25" thickBot="1" x14ac:dyDescent="0.2">
      <c r="B46" s="70"/>
      <c r="C46" s="71" t="s">
        <v>159</v>
      </c>
      <c r="D46" s="72"/>
      <c r="E46" s="72"/>
      <c r="F46" s="73"/>
      <c r="G46" s="72">
        <f>G12+G40+G45</f>
        <v>36956975</v>
      </c>
      <c r="H46" s="72"/>
      <c r="I46" s="72">
        <f>I12+I40+I45</f>
        <v>22198487.5</v>
      </c>
      <c r="J46" s="72"/>
      <c r="K46" s="74"/>
      <c r="L46" s="72">
        <f>L12+L40+L45</f>
        <v>2219848.75</v>
      </c>
      <c r="M46" s="72"/>
      <c r="N46" s="72"/>
      <c r="O46" s="72"/>
      <c r="P46" s="329">
        <f>P12+P40+P45</f>
        <v>296738.39285714284</v>
      </c>
    </row>
    <row r="47" spans="2:16" ht="11.25" customHeight="1" x14ac:dyDescent="0.15"/>
  </sheetData>
  <mergeCells count="9">
    <mergeCell ref="B41:B45"/>
    <mergeCell ref="J3:J4"/>
    <mergeCell ref="F2:G2"/>
    <mergeCell ref="E3:F3"/>
    <mergeCell ref="B5:B12"/>
    <mergeCell ref="B3:B4"/>
    <mergeCell ref="B13:B40"/>
    <mergeCell ref="C3:C4"/>
    <mergeCell ref="D3:D4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117" customWidth="1"/>
    <col min="2" max="2" width="5.875" style="117" customWidth="1"/>
    <col min="3" max="3" width="10.625" style="117" customWidth="1"/>
    <col min="4" max="4" width="12.375" style="117" customWidth="1"/>
    <col min="5" max="5" width="14.625" style="117" customWidth="1"/>
    <col min="6" max="7" width="15.875" style="117" customWidth="1"/>
    <col min="8" max="8" width="10.875" style="117"/>
    <col min="9" max="9" width="11.375" style="117" bestFit="1" customWidth="1"/>
    <col min="10" max="10" width="13.375" style="117" customWidth="1"/>
    <col min="11" max="11" width="7.125" style="117" customWidth="1"/>
    <col min="12" max="12" width="15.375" style="117" customWidth="1"/>
    <col min="13" max="13" width="9.375" style="117" bestFit="1" customWidth="1"/>
    <col min="14" max="14" width="10.875" style="117"/>
    <col min="15" max="15" width="7.25" style="117" customWidth="1"/>
    <col min="16" max="16" width="9.625" style="117" customWidth="1"/>
    <col min="17" max="17" width="10.875" style="117" customWidth="1"/>
    <col min="18" max="18" width="7.5" style="117" customWidth="1"/>
    <col min="19" max="19" width="3.75" style="117" customWidth="1"/>
    <col min="20" max="16384" width="10.875" style="117"/>
  </cols>
  <sheetData>
    <row r="1" spans="2:19" s="118" customFormat="1" ht="9.9499999999999993" customHeight="1" x14ac:dyDescent="0.1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2:19" s="118" customFormat="1" ht="24.95" customHeight="1" thickBot="1" x14ac:dyDescent="0.2">
      <c r="B2" s="3" t="s">
        <v>294</v>
      </c>
      <c r="H2" s="119" t="s">
        <v>245</v>
      </c>
      <c r="I2" s="3" t="s">
        <v>293</v>
      </c>
      <c r="K2" s="119" t="s">
        <v>246</v>
      </c>
      <c r="L2" s="3" t="s">
        <v>386</v>
      </c>
      <c r="N2" s="117"/>
      <c r="O2" s="117"/>
      <c r="Q2" s="4"/>
      <c r="R2" s="4"/>
    </row>
    <row r="3" spans="2:19" s="118" customFormat="1" ht="18" customHeight="1" x14ac:dyDescent="0.15">
      <c r="B3" s="664" t="s">
        <v>19</v>
      </c>
      <c r="C3" s="665"/>
      <c r="D3" s="665"/>
      <c r="E3" s="666"/>
      <c r="F3" s="146" t="s">
        <v>20</v>
      </c>
      <c r="G3" s="121"/>
      <c r="H3" s="122" t="s">
        <v>21</v>
      </c>
      <c r="I3" s="120"/>
      <c r="J3" s="120"/>
      <c r="K3" s="667" t="s">
        <v>215</v>
      </c>
      <c r="L3" s="668"/>
      <c r="M3" s="668"/>
      <c r="N3" s="668"/>
      <c r="O3" s="668"/>
      <c r="P3" s="668"/>
      <c r="Q3" s="668"/>
      <c r="R3" s="668"/>
      <c r="S3" s="669"/>
    </row>
    <row r="4" spans="2:19" s="118" customFormat="1" ht="18" customHeight="1" x14ac:dyDescent="0.15">
      <c r="B4" s="670" t="s">
        <v>22</v>
      </c>
      <c r="C4" s="671"/>
      <c r="D4" s="222" t="s">
        <v>208</v>
      </c>
      <c r="E4" s="235"/>
      <c r="F4" s="229">
        <f>+R11</f>
        <v>4143300</v>
      </c>
      <c r="G4" s="674" t="s">
        <v>408</v>
      </c>
      <c r="H4" s="675"/>
      <c r="I4" s="675"/>
      <c r="J4" s="676"/>
      <c r="K4" s="227" t="s">
        <v>251</v>
      </c>
      <c r="L4" s="312" t="s">
        <v>249</v>
      </c>
      <c r="M4" s="228" t="s">
        <v>23</v>
      </c>
      <c r="N4" s="228" t="s">
        <v>22</v>
      </c>
      <c r="O4" s="228" t="s">
        <v>251</v>
      </c>
      <c r="P4" s="312" t="s">
        <v>250</v>
      </c>
      <c r="Q4" s="228" t="s">
        <v>23</v>
      </c>
      <c r="R4" s="672" t="s">
        <v>22</v>
      </c>
      <c r="S4" s="673"/>
    </row>
    <row r="5" spans="2:19" s="118" customFormat="1" ht="18" customHeight="1" x14ac:dyDescent="0.15">
      <c r="B5" s="670"/>
      <c r="C5" s="671"/>
      <c r="D5" s="222" t="s">
        <v>89</v>
      </c>
      <c r="E5" s="235"/>
      <c r="F5" s="229">
        <v>0</v>
      </c>
      <c r="G5" s="190"/>
      <c r="H5" s="236"/>
      <c r="I5" s="236"/>
      <c r="J5" s="236"/>
      <c r="K5" s="308">
        <v>7</v>
      </c>
      <c r="L5" s="229">
        <v>12500</v>
      </c>
      <c r="M5" s="229">
        <v>82.8</v>
      </c>
      <c r="N5" s="229">
        <f>L5*M5</f>
        <v>1035000</v>
      </c>
      <c r="O5" s="229"/>
      <c r="P5" s="229"/>
      <c r="Q5" s="229"/>
      <c r="R5" s="618">
        <f>P5*Q5</f>
        <v>0</v>
      </c>
      <c r="S5" s="619"/>
    </row>
    <row r="6" spans="2:19" s="118" customFormat="1" ht="18" customHeight="1" x14ac:dyDescent="0.15">
      <c r="B6" s="599" t="s">
        <v>213</v>
      </c>
      <c r="C6" s="631" t="s">
        <v>199</v>
      </c>
      <c r="D6" s="229" t="s">
        <v>56</v>
      </c>
      <c r="E6" s="237"/>
      <c r="F6" s="229">
        <f>+P13</f>
        <v>95240</v>
      </c>
      <c r="G6" s="190" t="s">
        <v>192</v>
      </c>
      <c r="H6" s="236"/>
      <c r="I6" s="236"/>
      <c r="J6" s="236"/>
      <c r="K6" s="234">
        <v>8</v>
      </c>
      <c r="L6" s="232">
        <v>10000</v>
      </c>
      <c r="M6" s="229">
        <v>80.400000000000006</v>
      </c>
      <c r="N6" s="229">
        <f>L6*M6</f>
        <v>804000</v>
      </c>
      <c r="O6" s="229"/>
      <c r="P6" s="229"/>
      <c r="Q6" s="229"/>
      <c r="R6" s="618">
        <f t="shared" ref="R6:R9" si="0">P6*Q6</f>
        <v>0</v>
      </c>
      <c r="S6" s="619"/>
    </row>
    <row r="7" spans="2:19" s="118" customFormat="1" ht="18" customHeight="1" x14ac:dyDescent="0.15">
      <c r="B7" s="600"/>
      <c r="C7" s="632"/>
      <c r="D7" s="229" t="s">
        <v>57</v>
      </c>
      <c r="E7" s="237"/>
      <c r="F7" s="229">
        <f>P22</f>
        <v>415150</v>
      </c>
      <c r="G7" s="649" t="s">
        <v>443</v>
      </c>
      <c r="H7" s="650"/>
      <c r="I7" s="650"/>
      <c r="J7" s="651"/>
      <c r="K7" s="233">
        <v>9</v>
      </c>
      <c r="L7" s="242">
        <v>9000</v>
      </c>
      <c r="M7" s="229">
        <v>89.2</v>
      </c>
      <c r="N7" s="229">
        <f t="shared" ref="N7:N11" si="1">L7*M7</f>
        <v>802800</v>
      </c>
      <c r="O7" s="229"/>
      <c r="P7" s="229"/>
      <c r="Q7" s="229"/>
      <c r="R7" s="618">
        <f t="shared" si="0"/>
        <v>0</v>
      </c>
      <c r="S7" s="619"/>
    </row>
    <row r="8" spans="2:19" s="118" customFormat="1" ht="18" customHeight="1" x14ac:dyDescent="0.15">
      <c r="B8" s="600"/>
      <c r="C8" s="632"/>
      <c r="D8" s="229" t="s">
        <v>58</v>
      </c>
      <c r="E8" s="237"/>
      <c r="F8" s="229">
        <f>P28</f>
        <v>206166.39999999999</v>
      </c>
      <c r="G8" s="649" t="s">
        <v>444</v>
      </c>
      <c r="H8" s="650"/>
      <c r="I8" s="650"/>
      <c r="J8" s="651"/>
      <c r="K8" s="231">
        <v>10</v>
      </c>
      <c r="L8" s="229">
        <v>12500</v>
      </c>
      <c r="M8" s="229">
        <v>87</v>
      </c>
      <c r="N8" s="229">
        <f t="shared" si="1"/>
        <v>1087500</v>
      </c>
      <c r="O8" s="229"/>
      <c r="P8" s="229"/>
      <c r="Q8" s="229"/>
      <c r="R8" s="618">
        <f t="shared" si="0"/>
        <v>0</v>
      </c>
      <c r="S8" s="619"/>
    </row>
    <row r="9" spans="2:19" s="118" customFormat="1" ht="18" customHeight="1" x14ac:dyDescent="0.15">
      <c r="B9" s="600"/>
      <c r="C9" s="632"/>
      <c r="D9" s="229" t="s">
        <v>90</v>
      </c>
      <c r="E9" s="237"/>
      <c r="F9" s="229">
        <f>P37</f>
        <v>20014.6947</v>
      </c>
      <c r="G9" s="649" t="s">
        <v>445</v>
      </c>
      <c r="H9" s="650"/>
      <c r="I9" s="650"/>
      <c r="J9" s="651"/>
      <c r="K9" s="231">
        <v>11</v>
      </c>
      <c r="L9" s="229">
        <v>5000</v>
      </c>
      <c r="M9" s="229">
        <v>82.8</v>
      </c>
      <c r="N9" s="229">
        <f t="shared" si="1"/>
        <v>414000</v>
      </c>
      <c r="O9" s="229"/>
      <c r="P9" s="229"/>
      <c r="Q9" s="229"/>
      <c r="R9" s="618">
        <f t="shared" si="0"/>
        <v>0</v>
      </c>
      <c r="S9" s="619"/>
    </row>
    <row r="10" spans="2:19" s="118" customFormat="1" ht="18" customHeight="1" x14ac:dyDescent="0.15">
      <c r="B10" s="600"/>
      <c r="C10" s="632"/>
      <c r="D10" s="229" t="s">
        <v>59</v>
      </c>
      <c r="E10" s="237"/>
      <c r="F10" s="229">
        <f>'８　キャベツ算出基礎'!V23</f>
        <v>146182.85714285713</v>
      </c>
      <c r="G10" s="596"/>
      <c r="H10" s="597"/>
      <c r="I10" s="597"/>
      <c r="J10" s="598"/>
      <c r="K10" s="231"/>
      <c r="L10" s="229"/>
      <c r="M10" s="229"/>
      <c r="N10" s="387">
        <f t="shared" si="1"/>
        <v>0</v>
      </c>
      <c r="O10" s="229"/>
      <c r="P10" s="229"/>
      <c r="Q10" s="229"/>
      <c r="R10" s="652"/>
      <c r="S10" s="598"/>
    </row>
    <row r="11" spans="2:19" s="118" customFormat="1" ht="18" customHeight="1" thickBot="1" x14ac:dyDescent="0.2">
      <c r="B11" s="600"/>
      <c r="C11" s="632"/>
      <c r="D11" s="229" t="s">
        <v>6</v>
      </c>
      <c r="E11" s="237"/>
      <c r="F11" s="229">
        <f>'８　キャベツ算出基礎'!V37</f>
        <v>1214.2857142857142</v>
      </c>
      <c r="G11" s="596"/>
      <c r="H11" s="597"/>
      <c r="I11" s="597"/>
      <c r="J11" s="598"/>
      <c r="K11" s="137"/>
      <c r="L11" s="124"/>
      <c r="M11" s="124"/>
      <c r="N11" s="388">
        <f t="shared" si="1"/>
        <v>0</v>
      </c>
      <c r="O11" s="125" t="s">
        <v>24</v>
      </c>
      <c r="P11" s="126">
        <f>SUM(L5:L11,P5:P10)</f>
        <v>49000</v>
      </c>
      <c r="Q11" s="127">
        <f>R11/P11</f>
        <v>84.557142857142864</v>
      </c>
      <c r="R11" s="653">
        <f>SUM(N5:N11,R5:S10)</f>
        <v>4143300</v>
      </c>
      <c r="S11" s="654"/>
    </row>
    <row r="12" spans="2:19" s="118" customFormat="1" ht="18" customHeight="1" thickTop="1" x14ac:dyDescent="0.15">
      <c r="B12" s="600"/>
      <c r="C12" s="632"/>
      <c r="D12" s="229" t="s">
        <v>7</v>
      </c>
      <c r="E12" s="237"/>
      <c r="F12" s="229">
        <v>0</v>
      </c>
      <c r="G12" s="196"/>
      <c r="H12" s="210"/>
      <c r="I12" s="210"/>
      <c r="J12" s="239"/>
      <c r="K12" s="661" t="s">
        <v>214</v>
      </c>
      <c r="L12" s="224" t="s">
        <v>160</v>
      </c>
      <c r="M12" s="226" t="s">
        <v>9</v>
      </c>
      <c r="N12" s="314" t="s">
        <v>248</v>
      </c>
      <c r="O12" s="225" t="s">
        <v>23</v>
      </c>
      <c r="P12" s="225" t="s">
        <v>26</v>
      </c>
      <c r="Q12" s="638" t="s">
        <v>27</v>
      </c>
      <c r="R12" s="639"/>
      <c r="S12" s="640"/>
    </row>
    <row r="13" spans="2:19" s="118" customFormat="1" ht="18" customHeight="1" x14ac:dyDescent="0.15">
      <c r="B13" s="600"/>
      <c r="C13" s="632"/>
      <c r="D13" s="635" t="s">
        <v>60</v>
      </c>
      <c r="E13" s="241" t="s">
        <v>189</v>
      </c>
      <c r="F13" s="229">
        <f>'６　固定資本装備と減価償却費'!L12*'７　キャベツ収支'!H13</f>
        <v>8940</v>
      </c>
      <c r="G13" s="413" t="s">
        <v>193</v>
      </c>
      <c r="H13" s="414">
        <v>0.01</v>
      </c>
      <c r="I13" s="655" t="s">
        <v>195</v>
      </c>
      <c r="J13" s="656"/>
      <c r="K13" s="662"/>
      <c r="L13" s="240" t="s">
        <v>295</v>
      </c>
      <c r="M13" s="223" t="s">
        <v>296</v>
      </c>
      <c r="N13" s="149">
        <v>47620</v>
      </c>
      <c r="O13" s="149">
        <v>2</v>
      </c>
      <c r="P13" s="149">
        <f>N13*O13</f>
        <v>95240</v>
      </c>
      <c r="Q13" s="657"/>
      <c r="R13" s="658"/>
      <c r="S13" s="659"/>
    </row>
    <row r="14" spans="2:19" s="118" customFormat="1" ht="18" customHeight="1" x14ac:dyDescent="0.15">
      <c r="B14" s="600"/>
      <c r="C14" s="632"/>
      <c r="D14" s="636"/>
      <c r="E14" s="241" t="s">
        <v>190</v>
      </c>
      <c r="F14" s="229">
        <f>'６　固定資本装備と減価償却費'!L40*'７　キャベツ収支'!H14</f>
        <v>66292.4375</v>
      </c>
      <c r="G14" s="413" t="s">
        <v>193</v>
      </c>
      <c r="H14" s="414">
        <v>0.05</v>
      </c>
      <c r="I14" s="655" t="s">
        <v>195</v>
      </c>
      <c r="J14" s="656"/>
      <c r="K14" s="662"/>
      <c r="L14" s="230"/>
      <c r="M14" s="223"/>
      <c r="N14" s="149"/>
      <c r="O14" s="149"/>
      <c r="P14" s="389">
        <f>N14*O14</f>
        <v>0</v>
      </c>
      <c r="Q14" s="660"/>
      <c r="R14" s="658"/>
      <c r="S14" s="659"/>
    </row>
    <row r="15" spans="2:19" s="118" customFormat="1" ht="18" customHeight="1" thickBot="1" x14ac:dyDescent="0.2">
      <c r="B15" s="600"/>
      <c r="C15" s="632"/>
      <c r="D15" s="635" t="s">
        <v>91</v>
      </c>
      <c r="E15" s="241" t="s">
        <v>189</v>
      </c>
      <c r="F15" s="229">
        <f>'６　固定資本装備と減価償却費'!P12</f>
        <v>53760</v>
      </c>
      <c r="G15" s="649" t="s">
        <v>195</v>
      </c>
      <c r="H15" s="650"/>
      <c r="I15" s="650"/>
      <c r="J15" s="651"/>
      <c r="K15" s="662"/>
      <c r="L15" s="130" t="s">
        <v>28</v>
      </c>
      <c r="M15" s="129"/>
      <c r="N15" s="130"/>
      <c r="O15" s="130"/>
      <c r="P15" s="130">
        <f>SUM(P10:P14)</f>
        <v>144240</v>
      </c>
      <c r="Q15" s="610"/>
      <c r="R15" s="611"/>
      <c r="S15" s="612"/>
    </row>
    <row r="16" spans="2:19" s="118" customFormat="1" ht="18" customHeight="1" thickTop="1" x14ac:dyDescent="0.15">
      <c r="B16" s="600"/>
      <c r="C16" s="632"/>
      <c r="D16" s="637"/>
      <c r="E16" s="241" t="s">
        <v>190</v>
      </c>
      <c r="F16" s="229">
        <f>'６　固定資本装備と減価償却費'!P40</f>
        <v>242978.39285714284</v>
      </c>
      <c r="G16" s="649" t="s">
        <v>195</v>
      </c>
      <c r="H16" s="650"/>
      <c r="I16" s="650"/>
      <c r="J16" s="651"/>
      <c r="K16" s="662"/>
      <c r="L16" s="218" t="s">
        <v>161</v>
      </c>
      <c r="M16" s="219"/>
      <c r="N16" s="313" t="s">
        <v>248</v>
      </c>
      <c r="O16" s="220" t="s">
        <v>23</v>
      </c>
      <c r="P16" s="221" t="s">
        <v>26</v>
      </c>
      <c r="Q16" s="641" t="s">
        <v>27</v>
      </c>
      <c r="R16" s="642"/>
      <c r="S16" s="643"/>
    </row>
    <row r="17" spans="1:19" s="118" customFormat="1" ht="18" customHeight="1" x14ac:dyDescent="0.15">
      <c r="B17" s="600"/>
      <c r="C17" s="632"/>
      <c r="D17" s="636"/>
      <c r="E17" s="229" t="s">
        <v>61</v>
      </c>
      <c r="F17" s="229">
        <f>'６　固定資本装備と減価償却費'!P45</f>
        <v>0</v>
      </c>
      <c r="G17" s="649" t="s">
        <v>195</v>
      </c>
      <c r="H17" s="650"/>
      <c r="I17" s="650"/>
      <c r="J17" s="651"/>
      <c r="K17" s="662"/>
      <c r="L17" s="222" t="s">
        <v>167</v>
      </c>
      <c r="M17" s="223"/>
      <c r="N17" s="196" t="s">
        <v>297</v>
      </c>
      <c r="O17" s="214"/>
      <c r="P17" s="212">
        <f>'８　キャベツ算出基礎'!G10</f>
        <v>150000</v>
      </c>
      <c r="Q17" s="604"/>
      <c r="R17" s="605"/>
      <c r="S17" s="606"/>
    </row>
    <row r="18" spans="1:19" s="118" customFormat="1" ht="18" customHeight="1" x14ac:dyDescent="0.15">
      <c r="A18" s="117"/>
      <c r="B18" s="600"/>
      <c r="C18" s="632"/>
      <c r="D18" s="634" t="s">
        <v>253</v>
      </c>
      <c r="E18" s="242" t="s">
        <v>122</v>
      </c>
      <c r="F18" s="229">
        <v>500000</v>
      </c>
      <c r="G18" s="196"/>
      <c r="H18" s="210"/>
      <c r="I18" s="210"/>
      <c r="J18" s="239"/>
      <c r="K18" s="662"/>
      <c r="L18" s="222" t="s">
        <v>165</v>
      </c>
      <c r="M18" s="223"/>
      <c r="N18" s="196" t="s">
        <v>297</v>
      </c>
      <c r="O18" s="214"/>
      <c r="P18" s="212">
        <f>'８　キャベツ算出基礎'!G14</f>
        <v>18400</v>
      </c>
      <c r="Q18" s="604"/>
      <c r="R18" s="605"/>
      <c r="S18" s="606"/>
    </row>
    <row r="19" spans="1:19" s="118" customFormat="1" ht="18" customHeight="1" x14ac:dyDescent="0.15">
      <c r="A19" s="117"/>
      <c r="B19" s="600"/>
      <c r="C19" s="632"/>
      <c r="D19" s="634"/>
      <c r="E19" s="242" t="s">
        <v>118</v>
      </c>
      <c r="F19" s="229">
        <v>0</v>
      </c>
      <c r="G19" s="196"/>
      <c r="H19" s="210"/>
      <c r="I19" s="647" t="s">
        <v>353</v>
      </c>
      <c r="J19" s="648"/>
      <c r="K19" s="662"/>
      <c r="L19" s="196" t="s">
        <v>166</v>
      </c>
      <c r="M19" s="210"/>
      <c r="N19" s="196" t="s">
        <v>298</v>
      </c>
      <c r="O19" s="214"/>
      <c r="P19" s="212">
        <f>'８　キャベツ算出基礎'!G19</f>
        <v>246750</v>
      </c>
      <c r="Q19" s="604"/>
      <c r="R19" s="605"/>
      <c r="S19" s="606"/>
    </row>
    <row r="20" spans="1:19" s="118" customFormat="1" ht="18" customHeight="1" x14ac:dyDescent="0.15">
      <c r="A20" s="117"/>
      <c r="B20" s="600"/>
      <c r="C20" s="632"/>
      <c r="D20" s="634"/>
      <c r="E20" s="242" t="s">
        <v>119</v>
      </c>
      <c r="F20" s="229">
        <f>900*6015/10</f>
        <v>541350</v>
      </c>
      <c r="G20" s="196"/>
      <c r="H20" s="210"/>
      <c r="I20" s="647" t="s">
        <v>354</v>
      </c>
      <c r="J20" s="648"/>
      <c r="K20" s="662"/>
      <c r="L20" s="390" t="s">
        <v>168</v>
      </c>
      <c r="M20" s="391"/>
      <c r="N20" s="390"/>
      <c r="O20" s="392"/>
      <c r="P20" s="390">
        <f>'８　キャベツ算出基礎'!G23</f>
        <v>0</v>
      </c>
      <c r="Q20" s="604"/>
      <c r="R20" s="605"/>
      <c r="S20" s="606"/>
    </row>
    <row r="21" spans="1:19" s="118" customFormat="1" ht="18" customHeight="1" x14ac:dyDescent="0.15">
      <c r="A21" s="117"/>
      <c r="B21" s="600"/>
      <c r="C21" s="632"/>
      <c r="D21" s="634"/>
      <c r="E21" s="242" t="s">
        <v>120</v>
      </c>
      <c r="F21" s="229">
        <f>(F18+F19+F20)*0.012</f>
        <v>12496.2</v>
      </c>
      <c r="G21" s="196" t="s">
        <v>428</v>
      </c>
      <c r="H21" s="210"/>
      <c r="I21" s="210"/>
      <c r="J21" s="239"/>
      <c r="K21" s="662"/>
      <c r="L21" s="390" t="s">
        <v>169</v>
      </c>
      <c r="M21" s="391"/>
      <c r="N21" s="390"/>
      <c r="O21" s="390"/>
      <c r="P21" s="390">
        <f>'８　キャベツ算出基礎'!G27</f>
        <v>0</v>
      </c>
      <c r="Q21" s="604"/>
      <c r="R21" s="605"/>
      <c r="S21" s="606"/>
    </row>
    <row r="22" spans="1:19" s="118" customFormat="1" ht="18" customHeight="1" thickBot="1" x14ac:dyDescent="0.2">
      <c r="A22" s="117"/>
      <c r="B22" s="600"/>
      <c r="C22" s="632"/>
      <c r="D22" s="634" t="s">
        <v>62</v>
      </c>
      <c r="E22" s="242" t="s">
        <v>63</v>
      </c>
      <c r="F22" s="229">
        <v>0</v>
      </c>
      <c r="G22" s="196"/>
      <c r="H22" s="210"/>
      <c r="I22" s="210"/>
      <c r="J22" s="239"/>
      <c r="K22" s="662"/>
      <c r="L22" s="130" t="s">
        <v>28</v>
      </c>
      <c r="M22" s="129"/>
      <c r="N22" s="130"/>
      <c r="O22" s="130"/>
      <c r="P22" s="130">
        <f>SUM(P17:P21)</f>
        <v>415150</v>
      </c>
      <c r="Q22" s="610"/>
      <c r="R22" s="611"/>
      <c r="S22" s="612"/>
    </row>
    <row r="23" spans="1:19" s="118" customFormat="1" ht="18" customHeight="1" thickTop="1" x14ac:dyDescent="0.15">
      <c r="A23" s="117"/>
      <c r="B23" s="600"/>
      <c r="C23" s="632"/>
      <c r="D23" s="634"/>
      <c r="E23" s="242" t="s">
        <v>92</v>
      </c>
      <c r="F23" s="229">
        <v>0</v>
      </c>
      <c r="G23" s="196"/>
      <c r="H23" s="210"/>
      <c r="I23" s="210"/>
      <c r="J23" s="239"/>
      <c r="K23" s="662"/>
      <c r="L23" s="196" t="s">
        <v>162</v>
      </c>
      <c r="M23" s="210"/>
      <c r="N23" s="211" t="s">
        <v>25</v>
      </c>
      <c r="O23" s="211" t="s">
        <v>23</v>
      </c>
      <c r="P23" s="211" t="s">
        <v>26</v>
      </c>
      <c r="Q23" s="641" t="s">
        <v>27</v>
      </c>
      <c r="R23" s="642"/>
      <c r="S23" s="643"/>
    </row>
    <row r="24" spans="1:19" s="118" customFormat="1" ht="18" customHeight="1" x14ac:dyDescent="0.15">
      <c r="A24" s="117"/>
      <c r="B24" s="600"/>
      <c r="C24" s="632"/>
      <c r="D24" s="229" t="s">
        <v>64</v>
      </c>
      <c r="E24" s="237"/>
      <c r="F24" s="229">
        <f>3000*100</f>
        <v>300000</v>
      </c>
      <c r="G24" s="196"/>
      <c r="H24" s="210"/>
      <c r="I24" s="386" t="s">
        <v>382</v>
      </c>
      <c r="J24" s="239"/>
      <c r="K24" s="662"/>
      <c r="L24" s="212" t="s">
        <v>29</v>
      </c>
      <c r="M24" s="210"/>
      <c r="N24" s="196" t="s">
        <v>299</v>
      </c>
      <c r="O24" s="212"/>
      <c r="P24" s="212">
        <f>'８　キャベツ算出基礎'!G41</f>
        <v>120478.8</v>
      </c>
      <c r="Q24" s="604"/>
      <c r="R24" s="605"/>
      <c r="S24" s="606"/>
    </row>
    <row r="25" spans="1:19" s="118" customFormat="1" ht="18" customHeight="1" x14ac:dyDescent="0.15">
      <c r="A25" s="117"/>
      <c r="B25" s="600"/>
      <c r="C25" s="632"/>
      <c r="D25" s="229" t="s">
        <v>164</v>
      </c>
      <c r="E25" s="237"/>
      <c r="F25" s="229">
        <f>SUM(F6:F24)/99</f>
        <v>26361.467352669555</v>
      </c>
      <c r="G25" s="243" t="s">
        <v>216</v>
      </c>
      <c r="H25" s="257">
        <v>0.01</v>
      </c>
      <c r="I25" s="131"/>
      <c r="J25" s="7"/>
      <c r="K25" s="662"/>
      <c r="L25" s="212" t="s">
        <v>30</v>
      </c>
      <c r="M25" s="210"/>
      <c r="N25" s="196" t="s">
        <v>300</v>
      </c>
      <c r="O25" s="212"/>
      <c r="P25" s="212">
        <f>'８　キャベツ算出基礎'!G52</f>
        <v>68461</v>
      </c>
      <c r="Q25" s="604"/>
      <c r="R25" s="605"/>
      <c r="S25" s="606"/>
    </row>
    <row r="26" spans="1:19" s="118" customFormat="1" ht="18" customHeight="1" x14ac:dyDescent="0.15">
      <c r="A26" s="117"/>
      <c r="B26" s="600"/>
      <c r="C26" s="633"/>
      <c r="D26" s="602" t="s">
        <v>207</v>
      </c>
      <c r="E26" s="603"/>
      <c r="F26" s="147">
        <f>SUM(F6:F25)</f>
        <v>2636146.7352669556</v>
      </c>
      <c r="G26" s="203"/>
      <c r="H26" s="131"/>
      <c r="I26" s="131"/>
      <c r="J26" s="133"/>
      <c r="K26" s="662"/>
      <c r="L26" s="212" t="s">
        <v>31</v>
      </c>
      <c r="M26" s="210"/>
      <c r="N26" s="196" t="s">
        <v>298</v>
      </c>
      <c r="O26" s="212"/>
      <c r="P26" s="212">
        <f>'８　キャベツ算出基礎'!G56</f>
        <v>16493.699999999997</v>
      </c>
      <c r="Q26" s="604"/>
      <c r="R26" s="605"/>
      <c r="S26" s="606"/>
    </row>
    <row r="27" spans="1:19" s="118" customFormat="1" ht="18" customHeight="1" x14ac:dyDescent="0.15">
      <c r="A27" s="117"/>
      <c r="B27" s="600"/>
      <c r="C27" s="607" t="s">
        <v>194</v>
      </c>
      <c r="D27" s="549" t="s">
        <v>65</v>
      </c>
      <c r="E27" s="20" t="s">
        <v>3</v>
      </c>
      <c r="F27" s="123">
        <f>P11*86/10</f>
        <v>421400</v>
      </c>
      <c r="G27" s="222" t="s">
        <v>350</v>
      </c>
      <c r="H27" s="210"/>
      <c r="I27" s="128"/>
      <c r="J27" s="239"/>
      <c r="K27" s="662"/>
      <c r="L27" s="212" t="s">
        <v>138</v>
      </c>
      <c r="M27" s="210"/>
      <c r="N27" s="196" t="s">
        <v>297</v>
      </c>
      <c r="O27" s="212"/>
      <c r="P27" s="212">
        <f>'８　キャベツ算出基礎'!G60</f>
        <v>732.9</v>
      </c>
      <c r="Q27" s="604"/>
      <c r="R27" s="605"/>
      <c r="S27" s="606"/>
    </row>
    <row r="28" spans="1:19" s="118" customFormat="1" ht="18" customHeight="1" thickBot="1" x14ac:dyDescent="0.2">
      <c r="A28" s="117"/>
      <c r="B28" s="600"/>
      <c r="C28" s="608"/>
      <c r="D28" s="552"/>
      <c r="E28" s="20" t="s">
        <v>4</v>
      </c>
      <c r="F28" s="148">
        <f>P11*70/10</f>
        <v>343000</v>
      </c>
      <c r="G28" s="222" t="s">
        <v>351</v>
      </c>
      <c r="H28" s="244"/>
      <c r="I28" s="244"/>
      <c r="J28" s="245"/>
      <c r="K28" s="662"/>
      <c r="L28" s="130" t="s">
        <v>28</v>
      </c>
      <c r="M28" s="129"/>
      <c r="N28" s="130"/>
      <c r="O28" s="130"/>
      <c r="P28" s="130">
        <f>SUM(P24:P27)</f>
        <v>206166.39999999999</v>
      </c>
      <c r="Q28" s="610"/>
      <c r="R28" s="611"/>
      <c r="S28" s="612"/>
    </row>
    <row r="29" spans="1:19" s="118" customFormat="1" ht="18" customHeight="1" thickTop="1" x14ac:dyDescent="0.15">
      <c r="A29" s="117"/>
      <c r="B29" s="600"/>
      <c r="C29" s="608"/>
      <c r="D29" s="550"/>
      <c r="E29" s="20" t="s">
        <v>8</v>
      </c>
      <c r="F29" s="123">
        <f>R11*0.125</f>
        <v>517912.5</v>
      </c>
      <c r="G29" s="222" t="s">
        <v>352</v>
      </c>
      <c r="H29" s="217"/>
      <c r="I29" s="244"/>
      <c r="J29" s="238"/>
      <c r="K29" s="662"/>
      <c r="L29" s="196" t="s">
        <v>163</v>
      </c>
      <c r="M29" s="210"/>
      <c r="N29" s="211" t="s">
        <v>25</v>
      </c>
      <c r="O29" s="211" t="s">
        <v>23</v>
      </c>
      <c r="P29" s="211" t="s">
        <v>26</v>
      </c>
      <c r="Q29" s="641" t="s">
        <v>27</v>
      </c>
      <c r="R29" s="642"/>
      <c r="S29" s="643"/>
    </row>
    <row r="30" spans="1:19" s="118" customFormat="1" ht="18" customHeight="1" x14ac:dyDescent="0.15">
      <c r="A30" s="117"/>
      <c r="B30" s="600"/>
      <c r="C30" s="608"/>
      <c r="D30" s="20" t="s">
        <v>66</v>
      </c>
      <c r="E30" s="21"/>
      <c r="F30" s="123">
        <v>0</v>
      </c>
      <c r="G30" s="222"/>
      <c r="H30" s="217"/>
      <c r="I30" s="244"/>
      <c r="J30" s="246"/>
      <c r="K30" s="662"/>
      <c r="L30" s="212" t="s">
        <v>48</v>
      </c>
      <c r="M30" s="213"/>
      <c r="N30" s="196" t="s">
        <v>301</v>
      </c>
      <c r="O30" s="214"/>
      <c r="P30" s="212">
        <f>'８　キャベツ算出基礎'!N13</f>
        <v>15395.919000000002</v>
      </c>
      <c r="Q30" s="644"/>
      <c r="R30" s="645"/>
      <c r="S30" s="646"/>
    </row>
    <row r="31" spans="1:19" s="118" customFormat="1" ht="18" customHeight="1" x14ac:dyDescent="0.15">
      <c r="A31" s="117"/>
      <c r="B31" s="600"/>
      <c r="C31" s="608"/>
      <c r="D31" s="565" t="s">
        <v>254</v>
      </c>
      <c r="E31" s="30" t="s">
        <v>122</v>
      </c>
      <c r="F31" s="148">
        <v>0</v>
      </c>
      <c r="G31" s="222"/>
      <c r="H31" s="247"/>
      <c r="I31" s="247"/>
      <c r="J31" s="248"/>
      <c r="K31" s="662"/>
      <c r="L31" s="212" t="s">
        <v>47</v>
      </c>
      <c r="M31" s="213"/>
      <c r="N31" s="196"/>
      <c r="O31" s="214"/>
      <c r="P31" s="212">
        <f>'８　キャベツ算出基礎'!N18</f>
        <v>0</v>
      </c>
      <c r="Q31" s="644"/>
      <c r="R31" s="645"/>
      <c r="S31" s="646"/>
    </row>
    <row r="32" spans="1:19" s="118" customFormat="1" ht="18" customHeight="1" x14ac:dyDescent="0.15">
      <c r="A32" s="117"/>
      <c r="B32" s="600"/>
      <c r="C32" s="608"/>
      <c r="D32" s="565"/>
      <c r="E32" s="30" t="s">
        <v>121</v>
      </c>
      <c r="F32" s="148">
        <v>0</v>
      </c>
      <c r="G32" s="222"/>
      <c r="H32" s="249"/>
      <c r="I32" s="249"/>
      <c r="J32" s="250"/>
      <c r="K32" s="662"/>
      <c r="L32" s="212" t="s">
        <v>49</v>
      </c>
      <c r="M32" s="210"/>
      <c r="N32" s="214"/>
      <c r="O32" s="214"/>
      <c r="P32" s="212">
        <f>SUM(P30:P31)*R32</f>
        <v>4618.7757000000001</v>
      </c>
      <c r="Q32" s="216" t="s">
        <v>32</v>
      </c>
      <c r="R32" s="215">
        <v>0.3</v>
      </c>
      <c r="S32" s="132"/>
    </row>
    <row r="33" spans="1:23" ht="18" customHeight="1" x14ac:dyDescent="0.15">
      <c r="B33" s="600"/>
      <c r="C33" s="608"/>
      <c r="D33" s="20" t="s">
        <v>67</v>
      </c>
      <c r="E33" s="31"/>
      <c r="F33" s="148">
        <v>0</v>
      </c>
      <c r="G33" s="222"/>
      <c r="H33" s="251"/>
      <c r="I33" s="252"/>
      <c r="J33" s="246"/>
      <c r="K33" s="662"/>
      <c r="L33" s="212" t="s">
        <v>50</v>
      </c>
      <c r="M33" s="213"/>
      <c r="N33" s="196"/>
      <c r="O33" s="214"/>
      <c r="P33" s="212">
        <f>'８　キャベツ算出基礎'!N22</f>
        <v>0</v>
      </c>
      <c r="Q33" s="604"/>
      <c r="R33" s="605"/>
      <c r="S33" s="606"/>
    </row>
    <row r="34" spans="1:23" ht="18" customHeight="1" x14ac:dyDescent="0.15">
      <c r="B34" s="600"/>
      <c r="C34" s="608"/>
      <c r="D34" s="20" t="s">
        <v>93</v>
      </c>
      <c r="E34" s="31"/>
      <c r="F34" s="148">
        <v>0</v>
      </c>
      <c r="G34" s="222"/>
      <c r="H34" s="253"/>
      <c r="I34" s="254"/>
      <c r="J34" s="255"/>
      <c r="K34" s="662"/>
      <c r="L34" s="212" t="s">
        <v>51</v>
      </c>
      <c r="M34" s="213"/>
      <c r="N34" s="196"/>
      <c r="O34" s="214"/>
      <c r="P34" s="212">
        <f>'８　キャベツ算出基礎'!N26</f>
        <v>0</v>
      </c>
      <c r="Q34" s="604"/>
      <c r="R34" s="605"/>
      <c r="S34" s="606"/>
    </row>
    <row r="35" spans="1:23" ht="18" customHeight="1" x14ac:dyDescent="0.15">
      <c r="B35" s="600"/>
      <c r="C35" s="608"/>
      <c r="D35" s="20" t="s">
        <v>125</v>
      </c>
      <c r="E35" s="21"/>
      <c r="F35" s="148">
        <f>'８　キャベツ算出基礎'!V60</f>
        <v>4060</v>
      </c>
      <c r="G35" s="596"/>
      <c r="H35" s="597"/>
      <c r="I35" s="597"/>
      <c r="J35" s="598"/>
      <c r="K35" s="662"/>
      <c r="L35" s="212" t="s">
        <v>252</v>
      </c>
      <c r="M35" s="213"/>
      <c r="N35" s="196"/>
      <c r="O35" s="214"/>
      <c r="P35" s="212">
        <f>'８　キャベツ算出基礎'!N30</f>
        <v>0</v>
      </c>
      <c r="Q35" s="604"/>
      <c r="R35" s="605"/>
      <c r="S35" s="606"/>
    </row>
    <row r="36" spans="1:23" ht="18" customHeight="1" x14ac:dyDescent="0.15">
      <c r="B36" s="600"/>
      <c r="C36" s="608"/>
      <c r="D36" s="41" t="s">
        <v>94</v>
      </c>
      <c r="E36" s="42"/>
      <c r="F36" s="256">
        <v>0</v>
      </c>
      <c r="G36" s="196"/>
      <c r="H36" s="253"/>
      <c r="I36" s="254"/>
      <c r="J36" s="246"/>
      <c r="K36" s="662"/>
      <c r="L36" s="212" t="s">
        <v>52</v>
      </c>
      <c r="M36" s="210"/>
      <c r="N36" s="196"/>
      <c r="O36" s="214"/>
      <c r="P36" s="212">
        <f>'８　キャベツ算出基礎'!N34</f>
        <v>0</v>
      </c>
      <c r="Q36" s="604"/>
      <c r="R36" s="605"/>
      <c r="S36" s="606"/>
    </row>
    <row r="37" spans="1:23" ht="18" customHeight="1" thickBot="1" x14ac:dyDescent="0.2">
      <c r="B37" s="600"/>
      <c r="C37" s="608"/>
      <c r="D37" s="20" t="s">
        <v>68</v>
      </c>
      <c r="E37" s="21"/>
      <c r="F37" s="148">
        <f>'８　キャベツ算出基礎'!N60</f>
        <v>15358</v>
      </c>
      <c r="G37" s="596"/>
      <c r="H37" s="597"/>
      <c r="I37" s="597"/>
      <c r="J37" s="598"/>
      <c r="K37" s="663"/>
      <c r="L37" s="140" t="s">
        <v>28</v>
      </c>
      <c r="M37" s="139"/>
      <c r="N37" s="140"/>
      <c r="O37" s="140"/>
      <c r="P37" s="140">
        <f>SUM(P30:P36)</f>
        <v>20014.6947</v>
      </c>
      <c r="Q37" s="613"/>
      <c r="R37" s="614"/>
      <c r="S37" s="615"/>
    </row>
    <row r="38" spans="1:23" s="134" customFormat="1" ht="18" customHeight="1" x14ac:dyDescent="0.15">
      <c r="A38" s="117"/>
      <c r="B38" s="600"/>
      <c r="C38" s="608"/>
      <c r="D38" s="20" t="s">
        <v>0</v>
      </c>
      <c r="E38" s="31"/>
      <c r="F38" s="148">
        <v>0</v>
      </c>
      <c r="G38" s="6"/>
      <c r="H38" s="205"/>
      <c r="I38" s="206"/>
      <c r="J38" s="204"/>
    </row>
    <row r="39" spans="1:23" s="134" customFormat="1" ht="18" customHeight="1" thickBot="1" x14ac:dyDescent="0.2">
      <c r="A39" s="117"/>
      <c r="B39" s="601"/>
      <c r="C39" s="609"/>
      <c r="D39" s="616" t="s">
        <v>206</v>
      </c>
      <c r="E39" s="617"/>
      <c r="F39" s="198">
        <f>SUM(F27:F38)</f>
        <v>1301730.5</v>
      </c>
      <c r="G39" s="199"/>
      <c r="H39" s="200"/>
      <c r="I39" s="201"/>
      <c r="J39" s="202"/>
      <c r="T39" s="135"/>
    </row>
    <row r="40" spans="1:23" s="134" customFormat="1" ht="18" customHeight="1" x14ac:dyDescent="0.15">
      <c r="A40" s="117"/>
      <c r="B40" s="620" t="s">
        <v>210</v>
      </c>
      <c r="C40" s="623" t="s">
        <v>70</v>
      </c>
      <c r="D40" s="193" t="s">
        <v>124</v>
      </c>
      <c r="E40" s="194"/>
      <c r="F40" s="195">
        <v>0</v>
      </c>
      <c r="G40" s="196"/>
      <c r="H40" s="197"/>
      <c r="I40" s="197"/>
      <c r="J40" s="207"/>
      <c r="T40" s="118"/>
      <c r="U40" s="118"/>
      <c r="V40" s="118"/>
      <c r="W40" s="118"/>
    </row>
    <row r="41" spans="1:23" s="134" customFormat="1" ht="18" customHeight="1" x14ac:dyDescent="0.15">
      <c r="A41" s="117"/>
      <c r="B41" s="621"/>
      <c r="C41" s="624"/>
      <c r="D41" s="20" t="s">
        <v>123</v>
      </c>
      <c r="E41" s="21"/>
      <c r="F41" s="187">
        <v>0</v>
      </c>
      <c r="G41" s="196"/>
      <c r="H41" s="141"/>
      <c r="I41" s="141"/>
      <c r="J41" s="208"/>
      <c r="T41" s="136"/>
      <c r="U41" s="137"/>
      <c r="V41" s="138"/>
      <c r="W41" s="136"/>
    </row>
    <row r="42" spans="1:23" s="134" customFormat="1" ht="18" customHeight="1" x14ac:dyDescent="0.15">
      <c r="A42" s="117"/>
      <c r="B42" s="621"/>
      <c r="C42" s="625"/>
      <c r="D42" s="41" t="s">
        <v>69</v>
      </c>
      <c r="E42" s="21"/>
      <c r="F42" s="188">
        <v>0</v>
      </c>
      <c r="G42" s="196"/>
      <c r="H42" s="141"/>
      <c r="I42" s="141"/>
      <c r="J42" s="208"/>
      <c r="T42" s="118"/>
      <c r="U42" s="118"/>
      <c r="V42" s="118"/>
      <c r="W42" s="118"/>
    </row>
    <row r="43" spans="1:23" s="134" customFormat="1" ht="18" customHeight="1" x14ac:dyDescent="0.15">
      <c r="B43" s="621"/>
      <c r="C43" s="626" t="s">
        <v>209</v>
      </c>
      <c r="D43" s="41" t="s">
        <v>255</v>
      </c>
      <c r="E43" s="42"/>
      <c r="F43" s="188">
        <v>0</v>
      </c>
      <c r="G43" s="196"/>
      <c r="H43" s="141"/>
      <c r="I43" s="141"/>
      <c r="J43" s="208"/>
      <c r="T43" s="119"/>
      <c r="U43" s="135"/>
      <c r="V43" s="118"/>
      <c r="W43" s="136"/>
    </row>
    <row r="44" spans="1:23" s="134" customFormat="1" ht="18" customHeight="1" x14ac:dyDescent="0.15">
      <c r="B44" s="621"/>
      <c r="C44" s="627"/>
      <c r="D44" s="43" t="s">
        <v>1</v>
      </c>
      <c r="E44" s="44"/>
      <c r="F44" s="188">
        <v>0</v>
      </c>
      <c r="G44" s="196"/>
      <c r="H44" s="141"/>
      <c r="I44" s="141"/>
      <c r="J44" s="208"/>
      <c r="T44" s="119"/>
      <c r="U44" s="135"/>
      <c r="V44" s="118"/>
      <c r="W44" s="136"/>
    </row>
    <row r="45" spans="1:23" s="134" customFormat="1" ht="18" customHeight="1" thickBot="1" x14ac:dyDescent="0.2">
      <c r="B45" s="622"/>
      <c r="C45" s="628" t="s">
        <v>96</v>
      </c>
      <c r="D45" s="629"/>
      <c r="E45" s="630"/>
      <c r="F45" s="189">
        <f>SUM(F40:F42)-SUM(F43:F44)</f>
        <v>0</v>
      </c>
      <c r="G45" s="142"/>
      <c r="H45" s="143"/>
      <c r="I45" s="143"/>
      <c r="J45" s="209"/>
      <c r="T45" s="118"/>
      <c r="U45" s="118"/>
      <c r="V45" s="137"/>
      <c r="W45" s="118"/>
    </row>
  </sheetData>
  <mergeCells count="67">
    <mergeCell ref="G7:J7"/>
    <mergeCell ref="G4:J4"/>
    <mergeCell ref="G8:J8"/>
    <mergeCell ref="G9:J9"/>
    <mergeCell ref="G15:J15"/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I19:J19"/>
    <mergeCell ref="I20:J20"/>
    <mergeCell ref="G16:J16"/>
    <mergeCell ref="G17:J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4"/>
  <sheetViews>
    <sheetView showZeros="0" zoomScale="75" zoomScaleNormal="75" zoomScaleSheetLayoutView="100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5.625" style="49" customWidth="1"/>
    <col min="4" max="7" width="8.625" style="49" customWidth="1"/>
    <col min="8" max="8" width="1.625" style="178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4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2:22" ht="9.9499999999999993" customHeight="1" x14ac:dyDescent="0.15"/>
    <row r="2" spans="2:22" ht="24.95" customHeight="1" x14ac:dyDescent="0.15">
      <c r="B2" s="1" t="s">
        <v>302</v>
      </c>
      <c r="C2" s="51"/>
      <c r="D2" s="5"/>
      <c r="E2" s="5"/>
      <c r="F2" s="51"/>
      <c r="G2" s="118"/>
      <c r="H2" s="128"/>
      <c r="I2" s="118"/>
      <c r="J2" s="118"/>
      <c r="K2" s="118"/>
      <c r="L2" s="118"/>
      <c r="M2" s="118"/>
      <c r="N2" s="118"/>
      <c r="O2" s="5"/>
    </row>
    <row r="3" spans="2:22" ht="15" customHeight="1" thickBot="1" x14ac:dyDescent="0.2">
      <c r="B3" s="49" t="s">
        <v>211</v>
      </c>
      <c r="I3" s="5" t="s">
        <v>212</v>
      </c>
      <c r="P3" s="49" t="s">
        <v>231</v>
      </c>
    </row>
    <row r="4" spans="2:22" ht="15" customHeight="1" x14ac:dyDescent="0.15">
      <c r="B4" s="280" t="s">
        <v>87</v>
      </c>
      <c r="C4" s="164" t="s">
        <v>173</v>
      </c>
      <c r="D4" s="164" t="s">
        <v>140</v>
      </c>
      <c r="E4" s="164" t="s">
        <v>141</v>
      </c>
      <c r="F4" s="164" t="s">
        <v>23</v>
      </c>
      <c r="G4" s="152" t="s">
        <v>142</v>
      </c>
      <c r="H4" s="165"/>
      <c r="I4" s="719" t="s">
        <v>87</v>
      </c>
      <c r="J4" s="721" t="s">
        <v>177</v>
      </c>
      <c r="K4" s="170" t="s">
        <v>174</v>
      </c>
      <c r="L4" s="170" t="s">
        <v>143</v>
      </c>
      <c r="M4" s="721" t="s">
        <v>23</v>
      </c>
      <c r="N4" s="723" t="s">
        <v>142</v>
      </c>
      <c r="O4" s="192"/>
      <c r="P4" s="281" t="s">
        <v>180</v>
      </c>
      <c r="Q4" s="282" t="s">
        <v>181</v>
      </c>
      <c r="R4" s="282" t="s">
        <v>182</v>
      </c>
      <c r="S4" s="282" t="s">
        <v>183</v>
      </c>
      <c r="T4" s="725" t="s">
        <v>184</v>
      </c>
      <c r="U4" s="666"/>
      <c r="V4" s="283" t="s">
        <v>185</v>
      </c>
    </row>
    <row r="5" spans="2:22" ht="15" customHeight="1" x14ac:dyDescent="0.15">
      <c r="B5" s="584" t="s">
        <v>167</v>
      </c>
      <c r="C5" s="48" t="s">
        <v>446</v>
      </c>
      <c r="D5" s="48">
        <v>30</v>
      </c>
      <c r="E5" s="59" t="s">
        <v>171</v>
      </c>
      <c r="F5" s="48">
        <v>5000</v>
      </c>
      <c r="G5" s="153">
        <f t="shared" ref="G5:G6" si="0">D5*F5</f>
        <v>150000</v>
      </c>
      <c r="H5" s="166"/>
      <c r="I5" s="720"/>
      <c r="J5" s="722"/>
      <c r="K5" s="172" t="s">
        <v>144</v>
      </c>
      <c r="L5" s="393" t="s">
        <v>265</v>
      </c>
      <c r="M5" s="722"/>
      <c r="N5" s="724"/>
      <c r="O5" s="192"/>
      <c r="P5" s="284" t="s">
        <v>359</v>
      </c>
      <c r="Q5" s="150">
        <v>420</v>
      </c>
      <c r="R5" s="186" t="s">
        <v>186</v>
      </c>
      <c r="S5" s="150">
        <v>100</v>
      </c>
      <c r="T5" s="715">
        <v>5</v>
      </c>
      <c r="U5" s="716"/>
      <c r="V5" s="181">
        <f>Q5*S5/T5</f>
        <v>8400</v>
      </c>
    </row>
    <row r="6" spans="2:22" ht="15" customHeight="1" x14ac:dyDescent="0.15">
      <c r="B6" s="585"/>
      <c r="C6" s="48"/>
      <c r="D6" s="48"/>
      <c r="E6" s="59"/>
      <c r="F6" s="48"/>
      <c r="G6" s="154">
        <f t="shared" si="0"/>
        <v>0</v>
      </c>
      <c r="H6" s="166"/>
      <c r="I6" s="718" t="s">
        <v>176</v>
      </c>
      <c r="J6" s="48" t="s">
        <v>367</v>
      </c>
      <c r="K6" s="173">
        <v>2.2999999999999998</v>
      </c>
      <c r="L6" s="173">
        <v>2.5</v>
      </c>
      <c r="M6" s="173">
        <v>84.7</v>
      </c>
      <c r="N6" s="154">
        <f>K6*L6*M6</f>
        <v>487.02500000000003</v>
      </c>
      <c r="O6" s="192"/>
      <c r="P6" s="284" t="s">
        <v>374</v>
      </c>
      <c r="Q6" s="150">
        <v>6.8</v>
      </c>
      <c r="R6" s="186" t="s">
        <v>366</v>
      </c>
      <c r="S6" s="150">
        <v>2300</v>
      </c>
      <c r="T6" s="715">
        <v>1</v>
      </c>
      <c r="U6" s="716"/>
      <c r="V6" s="181">
        <f t="shared" ref="V6" si="1">Q6*S6/T6</f>
        <v>15640</v>
      </c>
    </row>
    <row r="7" spans="2:22" ht="15" customHeight="1" x14ac:dyDescent="0.15">
      <c r="B7" s="585"/>
      <c r="C7" s="350"/>
      <c r="D7" s="350"/>
      <c r="E7" s="351"/>
      <c r="F7" s="350"/>
      <c r="G7" s="352"/>
      <c r="H7" s="166"/>
      <c r="I7" s="585"/>
      <c r="J7" s="317" t="s">
        <v>368</v>
      </c>
      <c r="K7" s="353">
        <v>0.56999999999999995</v>
      </c>
      <c r="L7" s="353">
        <v>2</v>
      </c>
      <c r="M7" s="353">
        <v>84.7</v>
      </c>
      <c r="N7" s="154">
        <f t="shared" ref="N7:N11" si="2">K7*L7*M7</f>
        <v>96.557999999999993</v>
      </c>
      <c r="O7" s="192"/>
      <c r="P7" s="354" t="s">
        <v>362</v>
      </c>
      <c r="Q7" s="150">
        <v>30</v>
      </c>
      <c r="R7" s="355" t="s">
        <v>358</v>
      </c>
      <c r="S7" s="150">
        <v>3500</v>
      </c>
      <c r="T7" s="715">
        <v>1</v>
      </c>
      <c r="U7" s="716"/>
      <c r="V7" s="181">
        <f t="shared" ref="V7:V8" si="3">Q7*S7/T7</f>
        <v>105000</v>
      </c>
    </row>
    <row r="8" spans="2:22" ht="15" customHeight="1" x14ac:dyDescent="0.15">
      <c r="B8" s="585"/>
      <c r="C8" s="356"/>
      <c r="D8" s="356"/>
      <c r="E8" s="357"/>
      <c r="F8" s="356"/>
      <c r="G8" s="358"/>
      <c r="H8" s="166"/>
      <c r="I8" s="585"/>
      <c r="J8" s="317" t="s">
        <v>369</v>
      </c>
      <c r="K8" s="353">
        <v>2</v>
      </c>
      <c r="L8" s="353">
        <v>7</v>
      </c>
      <c r="M8" s="173">
        <v>84.7</v>
      </c>
      <c r="N8" s="154">
        <f t="shared" si="2"/>
        <v>1185.8</v>
      </c>
      <c r="O8" s="192"/>
      <c r="P8" s="284" t="s">
        <v>363</v>
      </c>
      <c r="Q8" s="150">
        <v>150</v>
      </c>
      <c r="R8" s="340" t="s">
        <v>364</v>
      </c>
      <c r="S8" s="150">
        <v>800</v>
      </c>
      <c r="T8" s="715">
        <v>7</v>
      </c>
      <c r="U8" s="716"/>
      <c r="V8" s="181">
        <f t="shared" si="3"/>
        <v>17142.857142857141</v>
      </c>
    </row>
    <row r="9" spans="2:22" ht="15" customHeight="1" x14ac:dyDescent="0.15">
      <c r="B9" s="585"/>
      <c r="C9" s="350"/>
      <c r="D9" s="350"/>
      <c r="E9" s="351"/>
      <c r="F9" s="350"/>
      <c r="G9" s="352"/>
      <c r="H9" s="166"/>
      <c r="I9" s="585"/>
      <c r="J9" s="317" t="s">
        <v>370</v>
      </c>
      <c r="K9" s="353">
        <v>3.3</v>
      </c>
      <c r="L9" s="353">
        <v>5</v>
      </c>
      <c r="M9" s="353">
        <v>84.7</v>
      </c>
      <c r="N9" s="154">
        <f t="shared" si="2"/>
        <v>1397.55</v>
      </c>
      <c r="O9" s="192"/>
      <c r="P9" s="284"/>
      <c r="Q9" s="150"/>
      <c r="R9" s="340"/>
      <c r="S9" s="150"/>
      <c r="T9" s="715"/>
      <c r="U9" s="716"/>
      <c r="V9" s="181"/>
    </row>
    <row r="10" spans="2:22" ht="15" customHeight="1" thickBot="1" x14ac:dyDescent="0.2">
      <c r="B10" s="684"/>
      <c r="C10" s="155" t="s">
        <v>145</v>
      </c>
      <c r="D10" s="155"/>
      <c r="E10" s="155"/>
      <c r="F10" s="155"/>
      <c r="G10" s="156">
        <f>SUM(G5:G6)</f>
        <v>150000</v>
      </c>
      <c r="H10" s="166"/>
      <c r="I10" s="585"/>
      <c r="J10" s="48" t="s">
        <v>371</v>
      </c>
      <c r="K10" s="173">
        <v>8</v>
      </c>
      <c r="L10" s="173">
        <v>3</v>
      </c>
      <c r="M10" s="173">
        <v>84.7</v>
      </c>
      <c r="N10" s="154">
        <f t="shared" si="2"/>
        <v>2032.8000000000002</v>
      </c>
      <c r="O10" s="192"/>
      <c r="P10" s="354"/>
      <c r="Q10" s="150"/>
      <c r="R10" s="355"/>
      <c r="S10" s="150"/>
      <c r="T10" s="715"/>
      <c r="U10" s="716"/>
      <c r="V10" s="181"/>
    </row>
    <row r="11" spans="2:22" ht="15" customHeight="1" thickTop="1" x14ac:dyDescent="0.15">
      <c r="B11" s="683" t="s">
        <v>165</v>
      </c>
      <c r="C11" s="48" t="s">
        <v>458</v>
      </c>
      <c r="D11" s="48">
        <v>40</v>
      </c>
      <c r="E11" s="59" t="s">
        <v>303</v>
      </c>
      <c r="F11" s="48">
        <v>460</v>
      </c>
      <c r="G11" s="154">
        <f>D11*F11</f>
        <v>18400</v>
      </c>
      <c r="H11" s="166"/>
      <c r="I11" s="585"/>
      <c r="J11" s="48" t="s">
        <v>372</v>
      </c>
      <c r="K11" s="173">
        <v>1.37</v>
      </c>
      <c r="L11" s="173">
        <v>2</v>
      </c>
      <c r="M11" s="353">
        <v>84.7</v>
      </c>
      <c r="N11" s="154">
        <f t="shared" si="2"/>
        <v>232.07800000000003</v>
      </c>
      <c r="O11" s="192"/>
      <c r="P11" s="284"/>
      <c r="Q11" s="150"/>
      <c r="R11" s="186"/>
      <c r="S11" s="150"/>
      <c r="T11" s="715"/>
      <c r="U11" s="716"/>
      <c r="V11" s="181"/>
    </row>
    <row r="12" spans="2:22" ht="15" customHeight="1" x14ac:dyDescent="0.15">
      <c r="B12" s="585"/>
      <c r="C12" s="48"/>
      <c r="D12" s="48"/>
      <c r="E12" s="59"/>
      <c r="F12" s="48"/>
      <c r="G12" s="154">
        <f>D12*F12</f>
        <v>0</v>
      </c>
      <c r="H12" s="166"/>
      <c r="I12" s="585"/>
      <c r="J12" s="48" t="s">
        <v>373</v>
      </c>
      <c r="K12" s="173">
        <v>29.41</v>
      </c>
      <c r="L12" s="173">
        <v>4</v>
      </c>
      <c r="M12" s="173">
        <v>84.7</v>
      </c>
      <c r="N12" s="154">
        <f t="shared" ref="N12" si="4">K12*L12*M12</f>
        <v>9964.1080000000002</v>
      </c>
      <c r="O12" s="192"/>
      <c r="P12" s="284"/>
      <c r="Q12" s="150"/>
      <c r="R12" s="186"/>
      <c r="S12" s="150"/>
      <c r="T12" s="715"/>
      <c r="U12" s="716"/>
      <c r="V12" s="181"/>
    </row>
    <row r="13" spans="2:22" ht="15" customHeight="1" thickBot="1" x14ac:dyDescent="0.2">
      <c r="B13" s="585"/>
      <c r="C13" s="48"/>
      <c r="D13" s="48"/>
      <c r="E13" s="59"/>
      <c r="F13" s="48"/>
      <c r="G13" s="154">
        <f>D13*F13</f>
        <v>0</v>
      </c>
      <c r="H13" s="166"/>
      <c r="I13" s="684"/>
      <c r="J13" s="285" t="s">
        <v>235</v>
      </c>
      <c r="K13" s="174">
        <f>SUM(K6:K12)</f>
        <v>46.95</v>
      </c>
      <c r="L13" s="174">
        <f>SUM(L6:L12)</f>
        <v>25.5</v>
      </c>
      <c r="M13" s="174"/>
      <c r="N13" s="169">
        <f>SUM(N6:N12)</f>
        <v>15395.919000000002</v>
      </c>
      <c r="O13" s="192"/>
      <c r="P13" s="284"/>
      <c r="Q13" s="150"/>
      <c r="R13" s="186"/>
      <c r="S13" s="150"/>
      <c r="T13" s="715"/>
      <c r="U13" s="716"/>
      <c r="V13" s="181"/>
    </row>
    <row r="14" spans="2:22" ht="15" customHeight="1" thickTop="1" thickBot="1" x14ac:dyDescent="0.2">
      <c r="B14" s="684"/>
      <c r="C14" s="157" t="s">
        <v>146</v>
      </c>
      <c r="D14" s="158"/>
      <c r="E14" s="158"/>
      <c r="F14" s="158"/>
      <c r="G14" s="159">
        <f>SUM(G11:G13)</f>
        <v>18400</v>
      </c>
      <c r="H14" s="166"/>
      <c r="I14" s="683" t="s">
        <v>236</v>
      </c>
      <c r="J14" s="48"/>
      <c r="K14" s="173"/>
      <c r="L14" s="173"/>
      <c r="M14" s="173"/>
      <c r="N14" s="154">
        <f>K14*L14*M14</f>
        <v>0</v>
      </c>
      <c r="O14" s="192"/>
      <c r="P14" s="284"/>
      <c r="Q14" s="150"/>
      <c r="R14" s="186"/>
      <c r="S14" s="150"/>
      <c r="T14" s="715"/>
      <c r="U14" s="716"/>
      <c r="V14" s="181"/>
    </row>
    <row r="15" spans="2:22" ht="15" customHeight="1" thickTop="1" x14ac:dyDescent="0.15">
      <c r="B15" s="683" t="s">
        <v>166</v>
      </c>
      <c r="C15" s="48" t="s">
        <v>446</v>
      </c>
      <c r="D15" s="48">
        <v>60</v>
      </c>
      <c r="E15" s="59" t="s">
        <v>304</v>
      </c>
      <c r="F15" s="48">
        <v>3100</v>
      </c>
      <c r="G15" s="154">
        <f>D15*F15</f>
        <v>186000</v>
      </c>
      <c r="H15" s="166"/>
      <c r="I15" s="585"/>
      <c r="J15" s="48"/>
      <c r="K15" s="173"/>
      <c r="L15" s="173"/>
      <c r="M15" s="173"/>
      <c r="N15" s="154">
        <f t="shared" ref="N15:N17" si="5">K15*L15*M15</f>
        <v>0</v>
      </c>
      <c r="O15" s="192"/>
      <c r="P15" s="284"/>
      <c r="Q15" s="150"/>
      <c r="R15" s="186"/>
      <c r="S15" s="150"/>
      <c r="T15" s="715"/>
      <c r="U15" s="716"/>
      <c r="V15" s="181"/>
    </row>
    <row r="16" spans="2:22" ht="15" customHeight="1" x14ac:dyDescent="0.15">
      <c r="B16" s="585"/>
      <c r="C16" s="48" t="s">
        <v>447</v>
      </c>
      <c r="D16" s="48">
        <v>25</v>
      </c>
      <c r="E16" s="59" t="s">
        <v>304</v>
      </c>
      <c r="F16" s="48">
        <v>2430</v>
      </c>
      <c r="G16" s="154">
        <f>D16*F16</f>
        <v>60750</v>
      </c>
      <c r="H16" s="166"/>
      <c r="I16" s="585"/>
      <c r="J16" s="48"/>
      <c r="K16" s="173"/>
      <c r="L16" s="173"/>
      <c r="M16" s="173"/>
      <c r="N16" s="154">
        <f t="shared" si="5"/>
        <v>0</v>
      </c>
      <c r="O16" s="192"/>
      <c r="P16" s="284"/>
      <c r="Q16" s="150"/>
      <c r="R16" s="186"/>
      <c r="S16" s="150"/>
      <c r="T16" s="715"/>
      <c r="U16" s="716"/>
      <c r="V16" s="181"/>
    </row>
    <row r="17" spans="2:22" ht="15" customHeight="1" x14ac:dyDescent="0.15">
      <c r="B17" s="585"/>
      <c r="C17" s="48"/>
      <c r="D17" s="48"/>
      <c r="E17" s="59"/>
      <c r="F17" s="48"/>
      <c r="G17" s="154">
        <f>D17*F17</f>
        <v>0</v>
      </c>
      <c r="H17" s="166"/>
      <c r="I17" s="585"/>
      <c r="J17" s="48"/>
      <c r="K17" s="173"/>
      <c r="L17" s="173"/>
      <c r="M17" s="173"/>
      <c r="N17" s="154">
        <f t="shared" si="5"/>
        <v>0</v>
      </c>
      <c r="O17" s="192"/>
      <c r="P17" s="284"/>
      <c r="Q17" s="150"/>
      <c r="R17" s="186"/>
      <c r="S17" s="150"/>
      <c r="T17" s="715"/>
      <c r="U17" s="716"/>
      <c r="V17" s="181"/>
    </row>
    <row r="18" spans="2:22" ht="15" customHeight="1" thickBot="1" x14ac:dyDescent="0.2">
      <c r="B18" s="585"/>
      <c r="C18" s="48"/>
      <c r="D18" s="48"/>
      <c r="E18" s="48"/>
      <c r="F18" s="48"/>
      <c r="G18" s="154">
        <f t="shared" ref="G18" si="6">D18*F18</f>
        <v>0</v>
      </c>
      <c r="H18" s="166"/>
      <c r="I18" s="684"/>
      <c r="J18" s="285" t="s">
        <v>235</v>
      </c>
      <c r="K18" s="174">
        <f t="shared" ref="K18:L18" si="7">SUM(K14:K17)</f>
        <v>0</v>
      </c>
      <c r="L18" s="174">
        <f t="shared" si="7"/>
        <v>0</v>
      </c>
      <c r="M18" s="174"/>
      <c r="N18" s="169">
        <f>SUM(N14:N17)</f>
        <v>0</v>
      </c>
      <c r="O18" s="192"/>
      <c r="P18" s="284"/>
      <c r="Q18" s="150"/>
      <c r="R18" s="186"/>
      <c r="S18" s="150"/>
      <c r="T18" s="715"/>
      <c r="U18" s="716"/>
      <c r="V18" s="181"/>
    </row>
    <row r="19" spans="2:22" ht="15" customHeight="1" thickTop="1" thickBot="1" x14ac:dyDescent="0.2">
      <c r="B19" s="684"/>
      <c r="C19" s="157" t="s">
        <v>146</v>
      </c>
      <c r="D19" s="158"/>
      <c r="E19" s="158"/>
      <c r="F19" s="158"/>
      <c r="G19" s="159">
        <f>SUM(G15:G18)</f>
        <v>246750</v>
      </c>
      <c r="H19" s="166"/>
      <c r="I19" s="683" t="s">
        <v>178</v>
      </c>
      <c r="J19" s="48"/>
      <c r="K19" s="173"/>
      <c r="L19" s="173"/>
      <c r="M19" s="173"/>
      <c r="N19" s="154">
        <f>K19*L19*M19</f>
        <v>0</v>
      </c>
      <c r="O19" s="192"/>
      <c r="P19" s="284"/>
      <c r="Q19" s="150"/>
      <c r="R19" s="315"/>
      <c r="S19" s="150"/>
      <c r="T19" s="715"/>
      <c r="U19" s="716"/>
      <c r="V19" s="181"/>
    </row>
    <row r="20" spans="2:22" ht="15" customHeight="1" thickTop="1" x14ac:dyDescent="0.15">
      <c r="B20" s="683" t="s">
        <v>168</v>
      </c>
      <c r="C20" s="48"/>
      <c r="D20" s="48"/>
      <c r="E20" s="59"/>
      <c r="F20" s="48"/>
      <c r="G20" s="154">
        <f t="shared" ref="G20" si="8">D20*F20</f>
        <v>0</v>
      </c>
      <c r="H20" s="166"/>
      <c r="I20" s="585"/>
      <c r="J20" s="48"/>
      <c r="K20" s="173"/>
      <c r="L20" s="173"/>
      <c r="M20" s="173"/>
      <c r="N20" s="154">
        <f t="shared" ref="N20:N21" si="9">K20*L20*M20</f>
        <v>0</v>
      </c>
      <c r="O20" s="192"/>
      <c r="P20" s="284"/>
      <c r="Q20" s="150"/>
      <c r="R20" s="315"/>
      <c r="S20" s="150"/>
      <c r="T20" s="715"/>
      <c r="U20" s="716"/>
      <c r="V20" s="181"/>
    </row>
    <row r="21" spans="2:22" ht="15" customHeight="1" x14ac:dyDescent="0.15">
      <c r="B21" s="585"/>
      <c r="C21" s="48"/>
      <c r="D21" s="48"/>
      <c r="E21" s="59"/>
      <c r="F21" s="48"/>
      <c r="G21" s="154">
        <f>D21*F21</f>
        <v>0</v>
      </c>
      <c r="H21" s="166"/>
      <c r="I21" s="585"/>
      <c r="J21" s="48"/>
      <c r="K21" s="173"/>
      <c r="L21" s="173"/>
      <c r="M21" s="173"/>
      <c r="N21" s="154">
        <f t="shared" si="9"/>
        <v>0</v>
      </c>
      <c r="O21" s="192"/>
      <c r="P21" s="284"/>
      <c r="Q21" s="150"/>
      <c r="R21" s="186"/>
      <c r="S21" s="150"/>
      <c r="T21" s="715"/>
      <c r="U21" s="716"/>
      <c r="V21" s="181"/>
    </row>
    <row r="22" spans="2:22" ht="15" customHeight="1" thickBot="1" x14ac:dyDescent="0.2">
      <c r="B22" s="585"/>
      <c r="C22" s="48"/>
      <c r="D22" s="48"/>
      <c r="E22" s="48"/>
      <c r="F22" s="48"/>
      <c r="G22" s="154">
        <f t="shared" ref="G22" si="10">D22*F22</f>
        <v>0</v>
      </c>
      <c r="H22" s="166"/>
      <c r="I22" s="684"/>
      <c r="J22" s="285" t="s">
        <v>237</v>
      </c>
      <c r="K22" s="174">
        <f>SUM(K19:K21)</f>
        <v>0</v>
      </c>
      <c r="L22" s="175">
        <f>SUM(L19:L21)</f>
        <v>0</v>
      </c>
      <c r="M22" s="176"/>
      <c r="N22" s="169">
        <f>SUM(N19:N21)</f>
        <v>0</v>
      </c>
      <c r="O22" s="192"/>
      <c r="P22" s="284"/>
      <c r="Q22" s="150"/>
      <c r="R22" s="186"/>
      <c r="S22" s="150"/>
      <c r="T22" s="715"/>
      <c r="U22" s="716"/>
      <c r="V22" s="181"/>
    </row>
    <row r="23" spans="2:22" ht="15" customHeight="1" thickTop="1" thickBot="1" x14ac:dyDescent="0.2">
      <c r="B23" s="684"/>
      <c r="C23" s="157" t="s">
        <v>146</v>
      </c>
      <c r="D23" s="158"/>
      <c r="E23" s="158"/>
      <c r="F23" s="158"/>
      <c r="G23" s="159">
        <f>SUM(G20:G22)</f>
        <v>0</v>
      </c>
      <c r="H23" s="166"/>
      <c r="I23" s="683" t="s">
        <v>179</v>
      </c>
      <c r="J23" s="48"/>
      <c r="K23" s="173"/>
      <c r="L23" s="173"/>
      <c r="M23" s="173"/>
      <c r="N23" s="154">
        <f>K23*L23*M23</f>
        <v>0</v>
      </c>
      <c r="O23" s="192"/>
      <c r="P23" s="182" t="s">
        <v>28</v>
      </c>
      <c r="Q23" s="183"/>
      <c r="R23" s="183"/>
      <c r="S23" s="183"/>
      <c r="T23" s="717"/>
      <c r="U23" s="678"/>
      <c r="V23" s="184">
        <f>SUM(V5:V22)</f>
        <v>146182.85714285713</v>
      </c>
    </row>
    <row r="24" spans="2:22" ht="15" customHeight="1" thickTop="1" x14ac:dyDescent="0.15">
      <c r="B24" s="683" t="s">
        <v>169</v>
      </c>
      <c r="C24" s="48"/>
      <c r="D24" s="48"/>
      <c r="E24" s="59"/>
      <c r="F24" s="48"/>
      <c r="G24" s="154">
        <f>D24*F24</f>
        <v>0</v>
      </c>
      <c r="H24" s="166"/>
      <c r="I24" s="585"/>
      <c r="J24" s="48"/>
      <c r="K24" s="173"/>
      <c r="L24" s="173"/>
      <c r="M24" s="173"/>
      <c r="N24" s="154">
        <f t="shared" ref="N24:N25" si="11">K24*L24*M24</f>
        <v>0</v>
      </c>
      <c r="O24" s="192"/>
    </row>
    <row r="25" spans="2:22" ht="15" customHeight="1" thickBot="1" x14ac:dyDescent="0.2">
      <c r="B25" s="585"/>
      <c r="C25" s="48"/>
      <c r="D25" s="48"/>
      <c r="E25" s="59"/>
      <c r="F25" s="48"/>
      <c r="G25" s="154">
        <f>D25*F25</f>
        <v>0</v>
      </c>
      <c r="H25" s="166"/>
      <c r="I25" s="585"/>
      <c r="J25" s="48"/>
      <c r="K25" s="173"/>
      <c r="L25" s="173"/>
      <c r="M25" s="173"/>
      <c r="N25" s="154">
        <f t="shared" si="11"/>
        <v>0</v>
      </c>
      <c r="O25" s="192"/>
      <c r="P25" s="49" t="s">
        <v>232</v>
      </c>
    </row>
    <row r="26" spans="2:22" ht="15" customHeight="1" thickBot="1" x14ac:dyDescent="0.2">
      <c r="B26" s="585"/>
      <c r="C26" s="48"/>
      <c r="D26" s="48"/>
      <c r="E26" s="59"/>
      <c r="F26" s="48"/>
      <c r="G26" s="154">
        <f>D26*F26</f>
        <v>0</v>
      </c>
      <c r="H26" s="166"/>
      <c r="I26" s="684"/>
      <c r="J26" s="285" t="s">
        <v>237</v>
      </c>
      <c r="K26" s="174">
        <f>SUM(K23:K25)</f>
        <v>0</v>
      </c>
      <c r="L26" s="175">
        <f>SUM(L23:L25)</f>
        <v>0</v>
      </c>
      <c r="M26" s="176"/>
      <c r="N26" s="169">
        <f>SUM(N23:N25)</f>
        <v>0</v>
      </c>
      <c r="O26" s="192"/>
      <c r="P26" s="281" t="s">
        <v>187</v>
      </c>
      <c r="Q26" s="282" t="s">
        <v>181</v>
      </c>
      <c r="R26" s="282" t="s">
        <v>182</v>
      </c>
      <c r="S26" s="282" t="s">
        <v>238</v>
      </c>
      <c r="T26" s="282" t="s">
        <v>184</v>
      </c>
      <c r="U26" s="146" t="s">
        <v>188</v>
      </c>
      <c r="V26" s="283" t="s">
        <v>185</v>
      </c>
    </row>
    <row r="27" spans="2:22" ht="15" customHeight="1" thickTop="1" thickBot="1" x14ac:dyDescent="0.2">
      <c r="B27" s="697"/>
      <c r="C27" s="160" t="s">
        <v>149</v>
      </c>
      <c r="D27" s="161"/>
      <c r="E27" s="161"/>
      <c r="F27" s="168"/>
      <c r="G27" s="162">
        <f>SUM(G24:G26)</f>
        <v>0</v>
      </c>
      <c r="I27" s="683" t="s">
        <v>252</v>
      </c>
      <c r="J27" s="48"/>
      <c r="K27" s="173"/>
      <c r="L27" s="173"/>
      <c r="M27" s="173"/>
      <c r="N27" s="154">
        <f>K27*L27*M27</f>
        <v>0</v>
      </c>
      <c r="O27" s="192"/>
      <c r="P27" s="284" t="s">
        <v>357</v>
      </c>
      <c r="Q27" s="150">
        <v>5</v>
      </c>
      <c r="R27" s="186" t="s">
        <v>358</v>
      </c>
      <c r="S27" s="150">
        <v>2000</v>
      </c>
      <c r="T27" s="150">
        <v>2</v>
      </c>
      <c r="U27" s="151">
        <v>10</v>
      </c>
      <c r="V27" s="181">
        <f>Q27*S27/T27/U27</f>
        <v>500</v>
      </c>
    </row>
    <row r="28" spans="2:22" ht="15" customHeight="1" x14ac:dyDescent="0.15">
      <c r="H28" s="167"/>
      <c r="I28" s="585"/>
      <c r="J28" s="48"/>
      <c r="K28" s="173"/>
      <c r="L28" s="173"/>
      <c r="M28" s="173"/>
      <c r="N28" s="154">
        <f t="shared" ref="N28:N29" si="12">K28*L28*M28</f>
        <v>0</v>
      </c>
      <c r="O28" s="192"/>
      <c r="P28" s="284" t="s">
        <v>360</v>
      </c>
      <c r="Q28" s="150">
        <v>1</v>
      </c>
      <c r="R28" s="186" t="s">
        <v>361</v>
      </c>
      <c r="S28" s="150">
        <v>50000</v>
      </c>
      <c r="T28" s="150">
        <v>7</v>
      </c>
      <c r="U28" s="151">
        <v>10</v>
      </c>
      <c r="V28" s="181">
        <f t="shared" ref="V28" si="13">Q28*S28/T28/U28</f>
        <v>714.28571428571433</v>
      </c>
    </row>
    <row r="29" spans="2:22" ht="15" customHeight="1" thickBot="1" x14ac:dyDescent="0.2">
      <c r="B29" s="5" t="s">
        <v>239</v>
      </c>
      <c r="C29" s="5"/>
      <c r="D29" s="51"/>
      <c r="E29" s="5"/>
      <c r="F29" s="51"/>
      <c r="G29" s="55"/>
      <c r="H29" s="165"/>
      <c r="I29" s="585"/>
      <c r="J29" s="48"/>
      <c r="K29" s="173"/>
      <c r="L29" s="173"/>
      <c r="M29" s="173"/>
      <c r="N29" s="154">
        <f t="shared" si="12"/>
        <v>0</v>
      </c>
      <c r="O29" s="192"/>
      <c r="P29" s="284"/>
      <c r="Q29" s="150"/>
      <c r="R29" s="186"/>
      <c r="S29" s="150"/>
      <c r="T29" s="150"/>
      <c r="U29" s="151"/>
      <c r="V29" s="181"/>
    </row>
    <row r="30" spans="2:22" ht="15" customHeight="1" thickBot="1" x14ac:dyDescent="0.2">
      <c r="B30" s="280" t="s">
        <v>87</v>
      </c>
      <c r="C30" s="164" t="s">
        <v>139</v>
      </c>
      <c r="D30" s="164" t="s">
        <v>140</v>
      </c>
      <c r="E30" s="164" t="s">
        <v>141</v>
      </c>
      <c r="F30" s="164" t="s">
        <v>23</v>
      </c>
      <c r="G30" s="152" t="s">
        <v>142</v>
      </c>
      <c r="H30" s="166"/>
      <c r="I30" s="684"/>
      <c r="J30" s="285" t="s">
        <v>235</v>
      </c>
      <c r="K30" s="174">
        <f>SUM(K27:K29)</f>
        <v>0</v>
      </c>
      <c r="L30" s="175">
        <f>SUM(L27:L29)</f>
        <v>0</v>
      </c>
      <c r="M30" s="176"/>
      <c r="N30" s="169">
        <f>SUM(N27:N29)</f>
        <v>0</v>
      </c>
      <c r="O30" s="192"/>
      <c r="P30" s="284"/>
      <c r="Q30" s="150"/>
      <c r="R30" s="186"/>
      <c r="S30" s="150"/>
      <c r="T30" s="150"/>
      <c r="U30" s="151"/>
      <c r="V30" s="181"/>
    </row>
    <row r="31" spans="2:22" ht="15" customHeight="1" thickTop="1" x14ac:dyDescent="0.15">
      <c r="B31" s="584" t="s">
        <v>29</v>
      </c>
      <c r="C31" s="48" t="s">
        <v>448</v>
      </c>
      <c r="D31" s="48">
        <v>1.2</v>
      </c>
      <c r="E31" s="59" t="s">
        <v>358</v>
      </c>
      <c r="F31" s="48">
        <v>1629</v>
      </c>
      <c r="G31" s="153">
        <f t="shared" ref="G31:G40" si="14">D31*F31</f>
        <v>1954.8</v>
      </c>
      <c r="H31" s="166"/>
      <c r="I31" s="683" t="s">
        <v>175</v>
      </c>
      <c r="J31" s="48"/>
      <c r="K31" s="173"/>
      <c r="L31" s="173"/>
      <c r="M31" s="173"/>
      <c r="N31" s="154">
        <f>K31*L31*M31</f>
        <v>0</v>
      </c>
      <c r="O31" s="192"/>
      <c r="P31" s="284"/>
      <c r="Q31" s="150"/>
      <c r="R31" s="186"/>
      <c r="S31" s="150"/>
      <c r="T31" s="150"/>
      <c r="U31" s="151"/>
      <c r="V31" s="181"/>
    </row>
    <row r="32" spans="2:22" ht="15" customHeight="1" x14ac:dyDescent="0.15">
      <c r="B32" s="585"/>
      <c r="C32" s="48" t="s">
        <v>449</v>
      </c>
      <c r="D32" s="48">
        <v>1</v>
      </c>
      <c r="E32" s="59" t="s">
        <v>365</v>
      </c>
      <c r="F32" s="48">
        <v>2312</v>
      </c>
      <c r="G32" s="154">
        <f t="shared" si="14"/>
        <v>2312</v>
      </c>
      <c r="H32" s="166"/>
      <c r="I32" s="585"/>
      <c r="J32" s="48"/>
      <c r="K32" s="173"/>
      <c r="L32" s="173"/>
      <c r="M32" s="173"/>
      <c r="N32" s="154">
        <f t="shared" ref="N32:N33" si="15">K32*L32*M32</f>
        <v>0</v>
      </c>
      <c r="O32" s="50"/>
      <c r="P32" s="284"/>
      <c r="Q32" s="150"/>
      <c r="R32" s="315"/>
      <c r="S32" s="150"/>
      <c r="T32" s="150"/>
      <c r="U32" s="316"/>
      <c r="V32" s="181"/>
    </row>
    <row r="33" spans="2:22" ht="15" customHeight="1" x14ac:dyDescent="0.15">
      <c r="B33" s="585"/>
      <c r="C33" s="48" t="s">
        <v>450</v>
      </c>
      <c r="D33" s="48">
        <v>2</v>
      </c>
      <c r="E33" s="59" t="s">
        <v>366</v>
      </c>
      <c r="F33" s="48">
        <v>47153</v>
      </c>
      <c r="G33" s="154">
        <f t="shared" si="14"/>
        <v>94306</v>
      </c>
      <c r="H33" s="166"/>
      <c r="I33" s="585"/>
      <c r="J33" s="48"/>
      <c r="K33" s="173"/>
      <c r="L33" s="173"/>
      <c r="M33" s="173"/>
      <c r="N33" s="154">
        <f t="shared" si="15"/>
        <v>0</v>
      </c>
      <c r="P33" s="284"/>
      <c r="Q33" s="150"/>
      <c r="R33" s="315"/>
      <c r="S33" s="150"/>
      <c r="T33" s="150"/>
      <c r="U33" s="316"/>
      <c r="V33" s="181"/>
    </row>
    <row r="34" spans="2:22" ht="15" customHeight="1" thickBot="1" x14ac:dyDescent="0.2">
      <c r="B34" s="585"/>
      <c r="C34" s="48" t="s">
        <v>451</v>
      </c>
      <c r="D34" s="48">
        <v>2</v>
      </c>
      <c r="E34" s="59" t="s">
        <v>358</v>
      </c>
      <c r="F34" s="48">
        <v>6961</v>
      </c>
      <c r="G34" s="154">
        <f t="shared" si="14"/>
        <v>13922</v>
      </c>
      <c r="H34" s="166"/>
      <c r="I34" s="697"/>
      <c r="J34" s="286" t="s">
        <v>240</v>
      </c>
      <c r="K34" s="177">
        <f>SUM(K31:K33)</f>
        <v>0</v>
      </c>
      <c r="L34" s="179">
        <f>SUM(L31:L33)</f>
        <v>0</v>
      </c>
      <c r="M34" s="180"/>
      <c r="N34" s="171">
        <f>SUM(N31:N33)</f>
        <v>0</v>
      </c>
      <c r="P34" s="284"/>
      <c r="Q34" s="150"/>
      <c r="R34" s="186"/>
      <c r="S34" s="150"/>
      <c r="T34" s="150"/>
      <c r="U34" s="151"/>
      <c r="V34" s="181"/>
    </row>
    <row r="35" spans="2:22" ht="15" customHeight="1" x14ac:dyDescent="0.15">
      <c r="B35" s="585"/>
      <c r="C35" s="317" t="s">
        <v>452</v>
      </c>
      <c r="D35" s="317">
        <v>2</v>
      </c>
      <c r="E35" s="59" t="s">
        <v>358</v>
      </c>
      <c r="F35" s="317">
        <v>3992</v>
      </c>
      <c r="G35" s="154">
        <f t="shared" si="14"/>
        <v>7984</v>
      </c>
      <c r="H35" s="166"/>
      <c r="I35" s="145"/>
      <c r="J35" s="145"/>
      <c r="K35" s="145"/>
      <c r="L35" s="145"/>
      <c r="M35" s="145"/>
      <c r="N35" s="145"/>
      <c r="P35" s="284"/>
      <c r="Q35" s="150"/>
      <c r="R35" s="186"/>
      <c r="S35" s="150"/>
      <c r="T35" s="150"/>
      <c r="U35" s="151"/>
      <c r="V35" s="181"/>
    </row>
    <row r="36" spans="2:22" ht="15" customHeight="1" thickBot="1" x14ac:dyDescent="0.2">
      <c r="B36" s="585"/>
      <c r="C36" s="317"/>
      <c r="D36" s="317"/>
      <c r="E36" s="59"/>
      <c r="F36" s="317"/>
      <c r="G36" s="154">
        <f t="shared" si="14"/>
        <v>0</v>
      </c>
      <c r="H36" s="166"/>
      <c r="I36" s="135" t="s">
        <v>230</v>
      </c>
      <c r="J36" s="135"/>
      <c r="K36" s="135"/>
      <c r="L36" s="135"/>
      <c r="M36" s="135"/>
      <c r="P36" s="284"/>
      <c r="Q36" s="150"/>
      <c r="R36" s="186"/>
      <c r="S36" s="150"/>
      <c r="T36" s="150"/>
      <c r="U36" s="151"/>
      <c r="V36" s="181"/>
    </row>
    <row r="37" spans="2:22" ht="15" customHeight="1" thickBot="1" x14ac:dyDescent="0.2">
      <c r="B37" s="585"/>
      <c r="C37" s="48"/>
      <c r="D37" s="48"/>
      <c r="E37" s="59"/>
      <c r="F37" s="48"/>
      <c r="G37" s="154">
        <f t="shared" si="14"/>
        <v>0</v>
      </c>
      <c r="H37" s="166"/>
      <c r="I37" s="259" t="s">
        <v>218</v>
      </c>
      <c r="J37" s="260" t="s">
        <v>5</v>
      </c>
      <c r="K37" s="711" t="s">
        <v>219</v>
      </c>
      <c r="L37" s="712"/>
      <c r="M37" s="287" t="s">
        <v>188</v>
      </c>
      <c r="N37" s="288" t="s">
        <v>241</v>
      </c>
      <c r="P37" s="289" t="s">
        <v>223</v>
      </c>
      <c r="Q37" s="183"/>
      <c r="R37" s="183"/>
      <c r="S37" s="183"/>
      <c r="T37" s="183"/>
      <c r="U37" s="185"/>
      <c r="V37" s="184">
        <f>SUM(V27:V36)</f>
        <v>1214.2857142857142</v>
      </c>
    </row>
    <row r="38" spans="2:22" ht="15" customHeight="1" x14ac:dyDescent="0.15">
      <c r="B38" s="585"/>
      <c r="C38" s="48"/>
      <c r="D38" s="48"/>
      <c r="E38" s="59"/>
      <c r="F38" s="48"/>
      <c r="G38" s="154">
        <f t="shared" si="14"/>
        <v>0</v>
      </c>
      <c r="H38" s="166"/>
      <c r="I38" s="689" t="s">
        <v>2</v>
      </c>
      <c r="J38" s="163" t="s">
        <v>340</v>
      </c>
      <c r="K38" s="701">
        <v>4320000</v>
      </c>
      <c r="L38" s="701"/>
      <c r="M38" s="258">
        <v>10</v>
      </c>
      <c r="N38" s="274">
        <f t="shared" ref="N38:N39" si="16">+K38/M38*0.014</f>
        <v>6048</v>
      </c>
    </row>
    <row r="39" spans="2:22" ht="15" customHeight="1" thickBot="1" x14ac:dyDescent="0.2">
      <c r="B39" s="585"/>
      <c r="C39" s="48"/>
      <c r="D39" s="48"/>
      <c r="E39" s="59"/>
      <c r="F39" s="48"/>
      <c r="G39" s="154">
        <f t="shared" si="14"/>
        <v>0</v>
      </c>
      <c r="H39" s="166"/>
      <c r="I39" s="713"/>
      <c r="J39" s="163" t="s">
        <v>54</v>
      </c>
      <c r="K39" s="701">
        <v>6000000</v>
      </c>
      <c r="L39" s="701"/>
      <c r="M39" s="341">
        <v>10</v>
      </c>
      <c r="N39" s="274">
        <f t="shared" si="16"/>
        <v>8400</v>
      </c>
      <c r="P39" s="135" t="s">
        <v>224</v>
      </c>
      <c r="Q39" s="135"/>
      <c r="R39" s="135"/>
      <c r="S39" s="135"/>
      <c r="T39" s="135"/>
    </row>
    <row r="40" spans="2:22" ht="15" customHeight="1" x14ac:dyDescent="0.15">
      <c r="B40" s="585"/>
      <c r="C40" s="48"/>
      <c r="D40" s="48"/>
      <c r="E40" s="59"/>
      <c r="F40" s="48"/>
      <c r="G40" s="154">
        <f t="shared" si="14"/>
        <v>0</v>
      </c>
      <c r="H40" s="166"/>
      <c r="I40" s="713"/>
      <c r="J40" s="163"/>
      <c r="K40" s="701"/>
      <c r="L40" s="701"/>
      <c r="M40" s="258"/>
      <c r="N40" s="274"/>
      <c r="O40" s="178"/>
      <c r="P40" s="259" t="s">
        <v>217</v>
      </c>
      <c r="Q40" s="708" t="s">
        <v>225</v>
      </c>
      <c r="R40" s="708"/>
      <c r="S40" s="273" t="s">
        <v>228</v>
      </c>
      <c r="T40" s="273" t="s">
        <v>227</v>
      </c>
      <c r="U40" s="290" t="s">
        <v>188</v>
      </c>
      <c r="V40" s="291" t="s">
        <v>241</v>
      </c>
    </row>
    <row r="41" spans="2:22" ht="15" customHeight="1" thickBot="1" x14ac:dyDescent="0.2">
      <c r="B41" s="684"/>
      <c r="C41" s="155" t="s">
        <v>145</v>
      </c>
      <c r="D41" s="155"/>
      <c r="E41" s="155"/>
      <c r="F41" s="155"/>
      <c r="G41" s="156">
        <f>SUM(G31:G40)</f>
        <v>120478.8</v>
      </c>
      <c r="H41" s="166"/>
      <c r="I41" s="713"/>
      <c r="J41" s="163"/>
      <c r="K41" s="701"/>
      <c r="L41" s="701"/>
      <c r="M41" s="258"/>
      <c r="N41" s="274"/>
      <c r="O41" s="178"/>
      <c r="P41" s="709" t="s">
        <v>226</v>
      </c>
      <c r="Q41" s="265"/>
      <c r="R41" s="295"/>
      <c r="S41" s="266"/>
      <c r="T41" s="296"/>
      <c r="U41" s="266"/>
      <c r="V41" s="274"/>
    </row>
    <row r="42" spans="2:22" ht="15" customHeight="1" thickTop="1" x14ac:dyDescent="0.15">
      <c r="B42" s="683" t="s">
        <v>170</v>
      </c>
      <c r="C42" s="48" t="s">
        <v>448</v>
      </c>
      <c r="D42" s="48">
        <v>3.4</v>
      </c>
      <c r="E42" s="59" t="s">
        <v>358</v>
      </c>
      <c r="F42" s="48">
        <v>7878</v>
      </c>
      <c r="G42" s="154">
        <f>D42*F42</f>
        <v>26785.200000000001</v>
      </c>
      <c r="H42" s="166"/>
      <c r="I42" s="713"/>
      <c r="J42" s="163"/>
      <c r="K42" s="701"/>
      <c r="L42" s="701"/>
      <c r="M42" s="258"/>
      <c r="N42" s="274"/>
      <c r="O42" s="178"/>
      <c r="P42" s="703"/>
      <c r="Q42" s="265"/>
      <c r="R42" s="295"/>
      <c r="S42" s="266"/>
      <c r="T42" s="296"/>
      <c r="U42" s="266"/>
      <c r="V42" s="274"/>
    </row>
    <row r="43" spans="2:22" ht="15" customHeight="1" x14ac:dyDescent="0.15">
      <c r="B43" s="585"/>
      <c r="C43" s="48" t="s">
        <v>453</v>
      </c>
      <c r="D43" s="48">
        <v>16.7</v>
      </c>
      <c r="E43" s="59" t="s">
        <v>366</v>
      </c>
      <c r="F43" s="48">
        <v>874</v>
      </c>
      <c r="G43" s="154">
        <f>D43*F43</f>
        <v>14595.8</v>
      </c>
      <c r="H43" s="166"/>
      <c r="I43" s="713"/>
      <c r="J43" s="163"/>
      <c r="K43" s="701"/>
      <c r="L43" s="701"/>
      <c r="M43" s="258"/>
      <c r="N43" s="274"/>
      <c r="O43" s="178"/>
      <c r="P43" s="703"/>
      <c r="Q43" s="265"/>
      <c r="R43" s="295"/>
      <c r="S43" s="266"/>
      <c r="T43" s="296"/>
      <c r="U43" s="266"/>
      <c r="V43" s="274"/>
    </row>
    <row r="44" spans="2:22" ht="15" customHeight="1" x14ac:dyDescent="0.15">
      <c r="B44" s="585"/>
      <c r="C44" s="48" t="s">
        <v>454</v>
      </c>
      <c r="D44" s="48">
        <v>1</v>
      </c>
      <c r="E44" s="59" t="s">
        <v>358</v>
      </c>
      <c r="F44" s="48">
        <v>11101</v>
      </c>
      <c r="G44" s="154">
        <f t="shared" ref="G44:G50" si="17">D44*F44</f>
        <v>11101</v>
      </c>
      <c r="H44" s="166"/>
      <c r="I44" s="713"/>
      <c r="J44" s="163"/>
      <c r="K44" s="701"/>
      <c r="L44" s="701"/>
      <c r="M44" s="258"/>
      <c r="N44" s="274"/>
      <c r="O44" s="178"/>
      <c r="P44" s="703"/>
      <c r="Q44" s="265"/>
      <c r="R44" s="295"/>
      <c r="S44" s="266"/>
      <c r="T44" s="296"/>
      <c r="U44" s="266"/>
      <c r="V44" s="274"/>
    </row>
    <row r="45" spans="2:22" ht="15" customHeight="1" thickBot="1" x14ac:dyDescent="0.2">
      <c r="B45" s="585"/>
      <c r="C45" s="317" t="s">
        <v>455</v>
      </c>
      <c r="D45" s="317">
        <v>1</v>
      </c>
      <c r="E45" s="59" t="s">
        <v>358</v>
      </c>
      <c r="F45" s="317">
        <v>5152</v>
      </c>
      <c r="G45" s="154">
        <f t="shared" si="17"/>
        <v>5152</v>
      </c>
      <c r="H45" s="166"/>
      <c r="I45" s="714"/>
      <c r="J45" s="261" t="s">
        <v>146</v>
      </c>
      <c r="K45" s="685"/>
      <c r="L45" s="686"/>
      <c r="M45" s="262"/>
      <c r="N45" s="270">
        <f>SUM(N38:N44)</f>
        <v>14448</v>
      </c>
      <c r="O45" s="178"/>
      <c r="P45" s="703"/>
      <c r="Q45" s="265"/>
      <c r="R45" s="295"/>
      <c r="S45" s="266"/>
      <c r="T45" s="296"/>
      <c r="U45" s="266"/>
      <c r="V45" s="274"/>
    </row>
    <row r="46" spans="2:22" ht="15" customHeight="1" thickTop="1" x14ac:dyDescent="0.15">
      <c r="B46" s="585"/>
      <c r="C46" s="317" t="s">
        <v>452</v>
      </c>
      <c r="D46" s="317">
        <v>1</v>
      </c>
      <c r="E46" s="59" t="s">
        <v>366</v>
      </c>
      <c r="F46" s="317">
        <v>10827</v>
      </c>
      <c r="G46" s="154">
        <f t="shared" si="17"/>
        <v>10827</v>
      </c>
      <c r="H46" s="166"/>
      <c r="I46" s="687" t="s">
        <v>220</v>
      </c>
      <c r="J46" s="263" t="s">
        <v>242</v>
      </c>
      <c r="K46" s="705">
        <v>4100</v>
      </c>
      <c r="L46" s="705"/>
      <c r="M46" s="264">
        <v>10</v>
      </c>
      <c r="N46" s="292">
        <f>+K46/M46</f>
        <v>410</v>
      </c>
      <c r="O46" s="178"/>
      <c r="P46" s="703"/>
      <c r="Q46" s="265"/>
      <c r="R46" s="295"/>
      <c r="S46" s="266"/>
      <c r="T46" s="296"/>
      <c r="U46" s="266"/>
      <c r="V46" s="274"/>
    </row>
    <row r="47" spans="2:22" ht="15" customHeight="1" thickBot="1" x14ac:dyDescent="0.2">
      <c r="B47" s="585"/>
      <c r="C47" s="48"/>
      <c r="D47" s="48"/>
      <c r="E47" s="59"/>
      <c r="F47" s="48"/>
      <c r="G47" s="154">
        <f t="shared" si="17"/>
        <v>0</v>
      </c>
      <c r="H47" s="166"/>
      <c r="I47" s="688"/>
      <c r="J47" s="265"/>
      <c r="K47" s="701"/>
      <c r="L47" s="701"/>
      <c r="M47" s="258"/>
      <c r="N47" s="274"/>
      <c r="O47" s="178"/>
      <c r="P47" s="710"/>
      <c r="Q47" s="275" t="s">
        <v>229</v>
      </c>
      <c r="R47" s="276"/>
      <c r="S47" s="276"/>
      <c r="T47" s="276"/>
      <c r="U47" s="276"/>
      <c r="V47" s="277">
        <f>SUM(V41:V46)</f>
        <v>0</v>
      </c>
    </row>
    <row r="48" spans="2:22" ht="15" customHeight="1" thickTop="1" x14ac:dyDescent="0.15">
      <c r="B48" s="585"/>
      <c r="C48" s="48"/>
      <c r="D48" s="48"/>
      <c r="E48" s="59"/>
      <c r="F48" s="48"/>
      <c r="G48" s="154">
        <f t="shared" si="17"/>
        <v>0</v>
      </c>
      <c r="H48" s="166"/>
      <c r="I48" s="688"/>
      <c r="J48" s="163"/>
      <c r="K48" s="701"/>
      <c r="L48" s="701"/>
      <c r="M48" s="258"/>
      <c r="N48" s="274"/>
      <c r="O48" s="178"/>
      <c r="P48" s="702" t="s">
        <v>234</v>
      </c>
      <c r="Q48" s="692" t="s">
        <v>243</v>
      </c>
      <c r="R48" s="297" t="s">
        <v>233</v>
      </c>
      <c r="S48" s="263">
        <v>15600</v>
      </c>
      <c r="T48" s="298">
        <v>1</v>
      </c>
      <c r="U48" s="263">
        <v>10</v>
      </c>
      <c r="V48" s="292">
        <f>+S48*T48/U48</f>
        <v>1560</v>
      </c>
    </row>
    <row r="49" spans="2:22" ht="15" customHeight="1" thickBot="1" x14ac:dyDescent="0.2">
      <c r="B49" s="585"/>
      <c r="C49" s="48"/>
      <c r="D49" s="48"/>
      <c r="E49" s="48"/>
      <c r="F49" s="48"/>
      <c r="G49" s="154">
        <f t="shared" si="17"/>
        <v>0</v>
      </c>
      <c r="H49" s="166"/>
      <c r="I49" s="700"/>
      <c r="J49" s="261" t="s">
        <v>146</v>
      </c>
      <c r="K49" s="685"/>
      <c r="L49" s="686"/>
      <c r="M49" s="262"/>
      <c r="N49" s="270">
        <f>SUM(N46:N48)</f>
        <v>410</v>
      </c>
      <c r="O49" s="178"/>
      <c r="P49" s="703"/>
      <c r="Q49" s="693"/>
      <c r="R49" s="299"/>
      <c r="S49" s="265"/>
      <c r="T49" s="296"/>
      <c r="U49" s="265"/>
      <c r="V49" s="274"/>
    </row>
    <row r="50" spans="2:22" ht="15" customHeight="1" thickTop="1" x14ac:dyDescent="0.15">
      <c r="B50" s="585"/>
      <c r="C50" s="48"/>
      <c r="D50" s="48"/>
      <c r="E50" s="48"/>
      <c r="F50" s="48"/>
      <c r="G50" s="154">
        <f t="shared" si="17"/>
        <v>0</v>
      </c>
      <c r="H50" s="166"/>
      <c r="I50" s="687" t="s">
        <v>221</v>
      </c>
      <c r="J50" s="263"/>
      <c r="K50" s="705"/>
      <c r="L50" s="705"/>
      <c r="M50" s="264"/>
      <c r="N50" s="292"/>
      <c r="O50" s="178"/>
      <c r="P50" s="703"/>
      <c r="Q50" s="693"/>
      <c r="R50" s="299"/>
      <c r="S50" s="265"/>
      <c r="T50" s="265"/>
      <c r="U50" s="163"/>
      <c r="V50" s="300"/>
    </row>
    <row r="51" spans="2:22" ht="15" customHeight="1" x14ac:dyDescent="0.15">
      <c r="B51" s="585"/>
      <c r="C51" s="48"/>
      <c r="D51" s="48"/>
      <c r="E51" s="48"/>
      <c r="F51" s="48"/>
      <c r="G51" s="154">
        <f t="shared" ref="G51:G55" si="18">D51*F51</f>
        <v>0</v>
      </c>
      <c r="H51" s="166"/>
      <c r="I51" s="688"/>
      <c r="J51" s="265"/>
      <c r="K51" s="701"/>
      <c r="L51" s="701"/>
      <c r="M51" s="258"/>
      <c r="N51" s="274"/>
      <c r="O51" s="178"/>
      <c r="P51" s="703"/>
      <c r="Q51" s="693"/>
      <c r="R51" s="299"/>
      <c r="S51" s="265"/>
      <c r="T51" s="296"/>
      <c r="U51" s="265"/>
      <c r="V51" s="274"/>
    </row>
    <row r="52" spans="2:22" ht="15" customHeight="1" thickBot="1" x14ac:dyDescent="0.2">
      <c r="B52" s="684"/>
      <c r="C52" s="157" t="s">
        <v>146</v>
      </c>
      <c r="D52" s="158"/>
      <c r="E52" s="158"/>
      <c r="F52" s="158"/>
      <c r="G52" s="159">
        <f>SUM(G42:G51)</f>
        <v>68461</v>
      </c>
      <c r="H52" s="166"/>
      <c r="I52" s="688"/>
      <c r="J52" s="163"/>
      <c r="K52" s="701"/>
      <c r="L52" s="701"/>
      <c r="M52" s="258"/>
      <c r="N52" s="274"/>
      <c r="O52" s="178"/>
      <c r="P52" s="703"/>
      <c r="Q52" s="694"/>
      <c r="R52" s="299"/>
      <c r="S52" s="265"/>
      <c r="T52" s="265"/>
      <c r="U52" s="163"/>
      <c r="V52" s="300"/>
    </row>
    <row r="53" spans="2:22" ht="15" customHeight="1" thickTop="1" thickBot="1" x14ac:dyDescent="0.2">
      <c r="B53" s="683" t="s">
        <v>31</v>
      </c>
      <c r="C53" s="48" t="s">
        <v>456</v>
      </c>
      <c r="D53" s="48">
        <v>1.5</v>
      </c>
      <c r="E53" s="59" t="s">
        <v>147</v>
      </c>
      <c r="F53" s="48">
        <v>4315</v>
      </c>
      <c r="G53" s="154">
        <f t="shared" si="18"/>
        <v>6472.5</v>
      </c>
      <c r="H53" s="166"/>
      <c r="I53" s="700"/>
      <c r="J53" s="261" t="s">
        <v>146</v>
      </c>
      <c r="K53" s="685"/>
      <c r="L53" s="686"/>
      <c r="M53" s="262"/>
      <c r="N53" s="270">
        <f>SUM(N50:N52)</f>
        <v>0</v>
      </c>
      <c r="O53" s="178"/>
      <c r="P53" s="703"/>
      <c r="Q53" s="275" t="s">
        <v>229</v>
      </c>
      <c r="R53" s="276"/>
      <c r="S53" s="276"/>
      <c r="T53" s="276"/>
      <c r="U53" s="276"/>
      <c r="V53" s="277">
        <f>SUM(V48:V52)</f>
        <v>1560</v>
      </c>
    </row>
    <row r="54" spans="2:22" ht="15" customHeight="1" thickTop="1" x14ac:dyDescent="0.15">
      <c r="B54" s="585"/>
      <c r="C54" s="48" t="s">
        <v>453</v>
      </c>
      <c r="D54" s="48">
        <v>0.6</v>
      </c>
      <c r="E54" s="59" t="s">
        <v>358</v>
      </c>
      <c r="F54" s="48">
        <v>16702</v>
      </c>
      <c r="G54" s="154">
        <f t="shared" si="18"/>
        <v>10021.199999999999</v>
      </c>
      <c r="H54" s="166"/>
      <c r="I54" s="687" t="s">
        <v>222</v>
      </c>
      <c r="J54" s="263" t="s">
        <v>381</v>
      </c>
      <c r="K54" s="690">
        <v>5000</v>
      </c>
      <c r="L54" s="691"/>
      <c r="M54" s="278">
        <v>10</v>
      </c>
      <c r="N54" s="293">
        <f>+K54/M54</f>
        <v>500</v>
      </c>
      <c r="O54" s="178"/>
      <c r="P54" s="703"/>
      <c r="Q54" s="692" t="s">
        <v>244</v>
      </c>
      <c r="R54" s="297" t="s">
        <v>233</v>
      </c>
      <c r="S54" s="263">
        <v>25000</v>
      </c>
      <c r="T54" s="298">
        <v>1</v>
      </c>
      <c r="U54" s="263">
        <v>10</v>
      </c>
      <c r="V54" s="292">
        <f>+S54*T54/U54</f>
        <v>2500</v>
      </c>
    </row>
    <row r="55" spans="2:22" ht="15" customHeight="1" x14ac:dyDescent="0.15">
      <c r="B55" s="585"/>
      <c r="C55" s="48"/>
      <c r="D55" s="48"/>
      <c r="E55" s="48"/>
      <c r="F55" s="48"/>
      <c r="G55" s="154">
        <f t="shared" si="18"/>
        <v>0</v>
      </c>
      <c r="H55" s="166"/>
      <c r="I55" s="688"/>
      <c r="J55" s="265"/>
      <c r="K55" s="695"/>
      <c r="L55" s="696"/>
      <c r="M55" s="279"/>
      <c r="N55" s="274"/>
      <c r="O55" s="178"/>
      <c r="P55" s="703"/>
      <c r="Q55" s="693"/>
      <c r="R55" s="299"/>
      <c r="S55" s="265"/>
      <c r="T55" s="296"/>
      <c r="U55" s="265"/>
      <c r="V55" s="274"/>
    </row>
    <row r="56" spans="2:22" ht="14.25" thickBot="1" x14ac:dyDescent="0.2">
      <c r="B56" s="684"/>
      <c r="C56" s="157" t="s">
        <v>146</v>
      </c>
      <c r="D56" s="158"/>
      <c r="E56" s="158"/>
      <c r="F56" s="158"/>
      <c r="G56" s="159">
        <f>SUM(G53:G55)</f>
        <v>16493.699999999997</v>
      </c>
      <c r="I56" s="688"/>
      <c r="J56" s="265"/>
      <c r="K56" s="695"/>
      <c r="L56" s="696"/>
      <c r="M56" s="279"/>
      <c r="N56" s="274"/>
      <c r="O56" s="178"/>
      <c r="P56" s="703"/>
      <c r="Q56" s="693"/>
      <c r="R56" s="299"/>
      <c r="S56" s="265"/>
      <c r="T56" s="265"/>
      <c r="U56" s="163"/>
      <c r="V56" s="300"/>
    </row>
    <row r="57" spans="2:22" ht="14.25" thickTop="1" x14ac:dyDescent="0.15">
      <c r="B57" s="683" t="s">
        <v>172</v>
      </c>
      <c r="C57" s="48" t="s">
        <v>457</v>
      </c>
      <c r="D57" s="48">
        <v>2.1</v>
      </c>
      <c r="E57" s="59" t="s">
        <v>148</v>
      </c>
      <c r="F57" s="48">
        <v>349</v>
      </c>
      <c r="G57" s="154">
        <f>D57*F57</f>
        <v>732.9</v>
      </c>
      <c r="I57" s="688"/>
      <c r="J57" s="258"/>
      <c r="K57" s="698"/>
      <c r="L57" s="699"/>
      <c r="M57" s="279"/>
      <c r="N57" s="274"/>
      <c r="O57" s="178"/>
      <c r="P57" s="703"/>
      <c r="Q57" s="693"/>
      <c r="R57" s="299"/>
      <c r="S57" s="265"/>
      <c r="T57" s="296"/>
      <c r="U57" s="265"/>
      <c r="V57" s="274"/>
    </row>
    <row r="58" spans="2:22" x14ac:dyDescent="0.15">
      <c r="B58" s="585"/>
      <c r="C58" s="48"/>
      <c r="D58" s="48"/>
      <c r="E58" s="59"/>
      <c r="F58" s="48"/>
      <c r="G58" s="154">
        <f>D58*F58</f>
        <v>0</v>
      </c>
      <c r="I58" s="688"/>
      <c r="J58" s="265"/>
      <c r="K58" s="695"/>
      <c r="L58" s="696"/>
      <c r="M58" s="279"/>
      <c r="N58" s="294"/>
      <c r="O58" s="178"/>
      <c r="P58" s="703"/>
      <c r="Q58" s="694"/>
      <c r="R58" s="299"/>
      <c r="S58" s="265"/>
      <c r="T58" s="265"/>
      <c r="U58" s="163"/>
      <c r="V58" s="300"/>
    </row>
    <row r="59" spans="2:22" x14ac:dyDescent="0.15">
      <c r="B59" s="585"/>
      <c r="C59" s="48"/>
      <c r="D59" s="48"/>
      <c r="E59" s="59"/>
      <c r="F59" s="48"/>
      <c r="G59" s="154">
        <f>D59*F59</f>
        <v>0</v>
      </c>
      <c r="I59" s="689"/>
      <c r="J59" s="267" t="s">
        <v>146</v>
      </c>
      <c r="K59" s="706"/>
      <c r="L59" s="707"/>
      <c r="M59" s="268"/>
      <c r="N59" s="271">
        <f>SUM(N54:N58)</f>
        <v>500</v>
      </c>
      <c r="O59" s="178"/>
      <c r="P59" s="704"/>
      <c r="Q59" s="303" t="s">
        <v>229</v>
      </c>
      <c r="R59" s="304"/>
      <c r="S59" s="304"/>
      <c r="T59" s="304"/>
      <c r="U59" s="304"/>
      <c r="V59" s="305">
        <f>SUM(V54:V58)</f>
        <v>2500</v>
      </c>
    </row>
    <row r="60" spans="2:22" ht="14.25" thickBot="1" x14ac:dyDescent="0.2">
      <c r="B60" s="697"/>
      <c r="C60" s="160" t="s">
        <v>149</v>
      </c>
      <c r="D60" s="161"/>
      <c r="E60" s="161"/>
      <c r="F60" s="161"/>
      <c r="G60" s="162">
        <f>SUM(G57:G59)</f>
        <v>732.9</v>
      </c>
      <c r="I60" s="677" t="s">
        <v>223</v>
      </c>
      <c r="J60" s="678"/>
      <c r="K60" s="679"/>
      <c r="L60" s="680"/>
      <c r="M60" s="185"/>
      <c r="N60" s="272">
        <f>SUM(N45,N49,N53,N59)</f>
        <v>15358</v>
      </c>
      <c r="O60" s="178"/>
      <c r="P60" s="681" t="s">
        <v>223</v>
      </c>
      <c r="Q60" s="682"/>
      <c r="R60" s="301"/>
      <c r="S60" s="301"/>
      <c r="T60" s="301"/>
      <c r="U60" s="301"/>
      <c r="V60" s="302">
        <f>SUM(V47,V53,V59)</f>
        <v>4060</v>
      </c>
    </row>
    <row r="61" spans="2:22" x14ac:dyDescent="0.15">
      <c r="O61" s="178"/>
      <c r="V61" s="49"/>
    </row>
    <row r="62" spans="2:22" x14ac:dyDescent="0.15">
      <c r="I62" s="178"/>
      <c r="J62" s="178"/>
      <c r="K62" s="178"/>
      <c r="L62" s="178"/>
      <c r="M62" s="178"/>
      <c r="N62" s="178"/>
      <c r="O62" s="178"/>
    </row>
    <row r="63" spans="2:22" x14ac:dyDescent="0.15">
      <c r="I63" s="178"/>
      <c r="J63" s="178"/>
      <c r="K63" s="178"/>
      <c r="L63" s="178"/>
      <c r="M63" s="178"/>
      <c r="N63" s="178"/>
      <c r="O63" s="178"/>
    </row>
    <row r="64" spans="2:22" x14ac:dyDescent="0.15">
      <c r="I64" s="178"/>
      <c r="J64" s="178"/>
      <c r="K64" s="178"/>
      <c r="L64" s="178"/>
      <c r="M64" s="178"/>
      <c r="N64" s="178"/>
      <c r="O64" s="178"/>
    </row>
    <row r="65" spans="9:15" x14ac:dyDescent="0.15">
      <c r="I65" s="178"/>
      <c r="J65" s="178"/>
      <c r="K65" s="178"/>
      <c r="L65" s="178"/>
      <c r="M65" s="178"/>
      <c r="N65" s="178"/>
      <c r="O65" s="178"/>
    </row>
    <row r="66" spans="9:15" x14ac:dyDescent="0.15">
      <c r="I66" s="178"/>
      <c r="J66" s="178"/>
      <c r="K66" s="178"/>
      <c r="L66" s="178"/>
      <c r="M66" s="178"/>
      <c r="N66" s="178"/>
      <c r="O66" s="178"/>
    </row>
    <row r="67" spans="9:15" x14ac:dyDescent="0.15">
      <c r="I67" s="178"/>
      <c r="J67" s="178"/>
      <c r="K67" s="178"/>
      <c r="L67" s="178"/>
      <c r="M67" s="178"/>
      <c r="N67" s="178"/>
      <c r="O67" s="178"/>
    </row>
    <row r="68" spans="9:15" x14ac:dyDescent="0.15">
      <c r="I68" s="178"/>
      <c r="J68" s="178"/>
      <c r="K68" s="178"/>
      <c r="L68" s="178"/>
      <c r="M68" s="178"/>
      <c r="N68" s="178"/>
      <c r="O68" s="178"/>
    </row>
    <row r="69" spans="9:15" x14ac:dyDescent="0.15">
      <c r="I69" s="178"/>
      <c r="J69" s="178"/>
      <c r="K69" s="178"/>
      <c r="L69" s="178"/>
      <c r="M69" s="178"/>
      <c r="N69" s="178"/>
      <c r="O69" s="178"/>
    </row>
    <row r="70" spans="9:15" x14ac:dyDescent="0.15">
      <c r="I70" s="178"/>
      <c r="J70" s="178"/>
      <c r="K70" s="178"/>
      <c r="L70" s="178"/>
      <c r="M70" s="178"/>
      <c r="N70" s="178"/>
      <c r="O70" s="178"/>
    </row>
    <row r="71" spans="9:15" x14ac:dyDescent="0.15">
      <c r="I71" s="178"/>
      <c r="J71" s="178"/>
      <c r="K71" s="178"/>
      <c r="L71" s="178"/>
      <c r="M71" s="178"/>
      <c r="N71" s="178"/>
      <c r="O71" s="178"/>
    </row>
    <row r="72" spans="9:15" x14ac:dyDescent="0.15">
      <c r="I72" s="178"/>
      <c r="J72" s="178"/>
      <c r="K72" s="178"/>
      <c r="L72" s="178"/>
      <c r="M72" s="178"/>
      <c r="N72" s="178"/>
      <c r="O72" s="178"/>
    </row>
    <row r="73" spans="9:15" x14ac:dyDescent="0.15">
      <c r="I73" s="178"/>
      <c r="J73" s="178"/>
      <c r="K73" s="178"/>
      <c r="L73" s="178"/>
      <c r="M73" s="178"/>
      <c r="N73" s="178"/>
      <c r="O73" s="178"/>
    </row>
    <row r="74" spans="9:15" x14ac:dyDescent="0.15">
      <c r="I74" s="178"/>
      <c r="J74" s="178"/>
      <c r="K74" s="178"/>
      <c r="L74" s="178"/>
      <c r="M74" s="178"/>
      <c r="N74" s="178"/>
      <c r="O74" s="178"/>
    </row>
    <row r="75" spans="9:15" x14ac:dyDescent="0.15">
      <c r="I75" s="178"/>
      <c r="J75" s="178"/>
      <c r="K75" s="178"/>
      <c r="L75" s="178"/>
      <c r="M75" s="178"/>
      <c r="N75" s="178"/>
      <c r="O75" s="178"/>
    </row>
    <row r="76" spans="9:15" x14ac:dyDescent="0.15">
      <c r="I76" s="178"/>
      <c r="J76" s="178"/>
      <c r="K76" s="178"/>
      <c r="L76" s="178"/>
      <c r="M76" s="178"/>
      <c r="N76" s="178"/>
      <c r="O76" s="178"/>
    </row>
    <row r="77" spans="9:15" x14ac:dyDescent="0.15">
      <c r="I77" s="178"/>
      <c r="J77" s="178"/>
      <c r="K77" s="178"/>
      <c r="L77" s="178"/>
      <c r="M77" s="178"/>
      <c r="N77" s="178"/>
      <c r="O77" s="178"/>
    </row>
    <row r="78" spans="9:15" x14ac:dyDescent="0.15">
      <c r="I78" s="178"/>
      <c r="J78" s="178"/>
      <c r="K78" s="178"/>
      <c r="L78" s="178"/>
      <c r="M78" s="178"/>
      <c r="N78" s="178"/>
      <c r="O78" s="178"/>
    </row>
    <row r="79" spans="9:15" x14ac:dyDescent="0.15">
      <c r="I79" s="178"/>
      <c r="J79" s="178"/>
      <c r="K79" s="178"/>
      <c r="L79" s="178"/>
      <c r="M79" s="178"/>
      <c r="N79" s="178"/>
      <c r="O79" s="178"/>
    </row>
    <row r="80" spans="9:15" x14ac:dyDescent="0.15">
      <c r="I80" s="178"/>
      <c r="J80" s="178"/>
      <c r="K80" s="178"/>
      <c r="L80" s="178"/>
      <c r="M80" s="178"/>
      <c r="N80" s="178"/>
      <c r="O80" s="178"/>
    </row>
    <row r="81" spans="2:15" x14ac:dyDescent="0.15">
      <c r="I81" s="178"/>
      <c r="J81" s="178"/>
      <c r="K81" s="178"/>
      <c r="L81" s="178"/>
      <c r="M81" s="178"/>
      <c r="N81" s="178"/>
      <c r="O81" s="178"/>
    </row>
    <row r="82" spans="2:15" x14ac:dyDescent="0.15">
      <c r="I82" s="178"/>
      <c r="J82" s="178"/>
      <c r="K82" s="178"/>
      <c r="L82" s="178"/>
      <c r="M82" s="178"/>
      <c r="N82" s="178"/>
      <c r="O82" s="178"/>
    </row>
    <row r="83" spans="2:15" x14ac:dyDescent="0.15">
      <c r="I83" s="178"/>
      <c r="J83" s="178"/>
      <c r="K83" s="178"/>
      <c r="L83" s="178"/>
      <c r="M83" s="178"/>
      <c r="N83" s="178"/>
      <c r="O83" s="178"/>
    </row>
    <row r="84" spans="2:15" x14ac:dyDescent="0.15">
      <c r="I84" s="178"/>
      <c r="J84" s="178"/>
      <c r="K84" s="178"/>
      <c r="L84" s="178"/>
      <c r="M84" s="178"/>
      <c r="N84" s="178"/>
      <c r="O84" s="178"/>
    </row>
    <row r="85" spans="2:15" x14ac:dyDescent="0.15">
      <c r="I85" s="178"/>
      <c r="J85" s="178"/>
      <c r="K85" s="178"/>
      <c r="L85" s="178"/>
      <c r="M85" s="178"/>
      <c r="N85" s="178"/>
      <c r="O85" s="178"/>
    </row>
    <row r="86" spans="2:15" x14ac:dyDescent="0.15">
      <c r="B86" s="165"/>
      <c r="C86" s="166"/>
      <c r="D86" s="166"/>
      <c r="E86" s="166"/>
      <c r="F86" s="166"/>
      <c r="I86" s="178"/>
      <c r="J86" s="178"/>
      <c r="K86" s="178"/>
      <c r="L86" s="178"/>
      <c r="M86" s="178"/>
      <c r="N86" s="178"/>
      <c r="O86" s="178"/>
    </row>
    <row r="87" spans="2:15" x14ac:dyDescent="0.15">
      <c r="B87" s="165"/>
      <c r="C87" s="166"/>
      <c r="D87" s="166"/>
      <c r="E87" s="166"/>
      <c r="F87" s="166"/>
      <c r="I87" s="178"/>
      <c r="J87" s="178"/>
      <c r="K87" s="178"/>
      <c r="L87" s="178"/>
      <c r="M87" s="178"/>
      <c r="N87" s="178"/>
      <c r="O87" s="178"/>
    </row>
    <row r="88" spans="2:15" x14ac:dyDescent="0.15">
      <c r="I88" s="178"/>
      <c r="J88" s="178"/>
      <c r="K88" s="178"/>
      <c r="L88" s="178"/>
      <c r="M88" s="178"/>
      <c r="N88" s="178"/>
      <c r="O88" s="178"/>
    </row>
    <row r="89" spans="2:15" x14ac:dyDescent="0.15">
      <c r="I89" s="178"/>
      <c r="J89" s="178"/>
      <c r="K89" s="178"/>
      <c r="L89" s="178"/>
      <c r="M89" s="178"/>
      <c r="N89" s="178"/>
      <c r="O89" s="178"/>
    </row>
    <row r="90" spans="2:15" x14ac:dyDescent="0.15">
      <c r="I90" s="178"/>
      <c r="J90" s="178"/>
      <c r="K90" s="178"/>
      <c r="L90" s="178"/>
      <c r="M90" s="178"/>
      <c r="N90" s="178"/>
      <c r="O90" s="178"/>
    </row>
    <row r="91" spans="2:15" x14ac:dyDescent="0.15">
      <c r="I91" s="178"/>
      <c r="J91" s="178"/>
      <c r="K91" s="178"/>
      <c r="L91" s="178"/>
      <c r="M91" s="178"/>
      <c r="N91" s="178"/>
      <c r="O91" s="178"/>
    </row>
    <row r="92" spans="2:15" x14ac:dyDescent="0.15">
      <c r="I92" s="178"/>
      <c r="J92" s="178"/>
      <c r="K92" s="178"/>
      <c r="L92" s="178"/>
      <c r="M92" s="178"/>
      <c r="N92" s="178"/>
      <c r="O92" s="178"/>
    </row>
    <row r="93" spans="2:15" x14ac:dyDescent="0.15">
      <c r="I93" s="178"/>
      <c r="J93" s="178"/>
      <c r="K93" s="178"/>
      <c r="L93" s="178"/>
      <c r="M93" s="178"/>
      <c r="N93" s="178"/>
      <c r="O93" s="178"/>
    </row>
    <row r="94" spans="2:15" x14ac:dyDescent="0.15">
      <c r="I94" s="178"/>
      <c r="J94" s="178"/>
      <c r="K94" s="178"/>
      <c r="L94" s="178"/>
      <c r="M94" s="178"/>
      <c r="N94" s="178"/>
      <c r="O94" s="178"/>
    </row>
    <row r="95" spans="2:15" x14ac:dyDescent="0.15">
      <c r="I95" s="178"/>
      <c r="J95" s="178"/>
      <c r="K95" s="178"/>
      <c r="L95" s="178"/>
      <c r="M95" s="178"/>
      <c r="N95" s="178"/>
      <c r="O95" s="178"/>
    </row>
    <row r="96" spans="2:15" x14ac:dyDescent="0.15">
      <c r="I96" s="178"/>
      <c r="J96" s="178"/>
      <c r="K96" s="178"/>
      <c r="L96" s="178"/>
      <c r="M96" s="178"/>
      <c r="N96" s="178"/>
      <c r="O96" s="178"/>
    </row>
    <row r="97" spans="9:15" x14ac:dyDescent="0.15">
      <c r="I97" s="178"/>
      <c r="J97" s="178"/>
      <c r="K97" s="178"/>
      <c r="L97" s="178"/>
      <c r="M97" s="178"/>
      <c r="N97" s="178"/>
      <c r="O97" s="178"/>
    </row>
    <row r="98" spans="9:15" x14ac:dyDescent="0.15">
      <c r="I98" s="178"/>
      <c r="J98" s="178"/>
      <c r="K98" s="178"/>
      <c r="L98" s="178"/>
      <c r="M98" s="178"/>
      <c r="N98" s="178"/>
      <c r="O98" s="178"/>
    </row>
    <row r="99" spans="9:15" x14ac:dyDescent="0.15">
      <c r="I99" s="178"/>
      <c r="J99" s="178"/>
      <c r="K99" s="178"/>
      <c r="L99" s="178"/>
      <c r="M99" s="178"/>
      <c r="N99" s="178"/>
      <c r="O99" s="178"/>
    </row>
    <row r="100" spans="9:15" x14ac:dyDescent="0.15">
      <c r="I100" s="178"/>
      <c r="J100" s="178"/>
      <c r="K100" s="178"/>
      <c r="L100" s="178"/>
      <c r="M100" s="178"/>
      <c r="N100" s="178"/>
      <c r="O100" s="178"/>
    </row>
    <row r="101" spans="9:15" x14ac:dyDescent="0.15">
      <c r="I101" s="178"/>
      <c r="J101" s="178"/>
      <c r="K101" s="178"/>
      <c r="L101" s="178"/>
      <c r="M101" s="178"/>
      <c r="N101" s="178"/>
      <c r="O101" s="178"/>
    </row>
    <row r="102" spans="9:15" x14ac:dyDescent="0.15">
      <c r="I102" s="178"/>
      <c r="J102" s="178"/>
      <c r="K102" s="178"/>
      <c r="L102" s="178"/>
      <c r="M102" s="178"/>
      <c r="N102" s="178"/>
      <c r="O102" s="178"/>
    </row>
    <row r="103" spans="9:15" x14ac:dyDescent="0.15">
      <c r="I103" s="178"/>
      <c r="J103" s="178"/>
      <c r="K103" s="178"/>
      <c r="L103" s="178"/>
      <c r="M103" s="178"/>
      <c r="N103" s="178"/>
      <c r="O103" s="178"/>
    </row>
    <row r="104" spans="9:15" x14ac:dyDescent="0.15">
      <c r="I104" s="178"/>
      <c r="J104" s="178"/>
      <c r="K104" s="178"/>
      <c r="L104" s="178"/>
      <c r="M104" s="178"/>
      <c r="N104" s="178"/>
      <c r="O104" s="178"/>
    </row>
    <row r="105" spans="9:15" x14ac:dyDescent="0.15">
      <c r="I105" s="178"/>
      <c r="J105" s="178"/>
      <c r="K105" s="178"/>
      <c r="L105" s="178"/>
      <c r="M105" s="178"/>
      <c r="N105" s="178"/>
      <c r="O105" s="178"/>
    </row>
    <row r="106" spans="9:15" x14ac:dyDescent="0.15">
      <c r="I106" s="178"/>
      <c r="J106" s="178"/>
      <c r="K106" s="178"/>
      <c r="L106" s="178"/>
      <c r="M106" s="178"/>
      <c r="N106" s="178"/>
      <c r="O106" s="178"/>
    </row>
    <row r="107" spans="9:15" x14ac:dyDescent="0.15">
      <c r="I107" s="178"/>
      <c r="J107" s="178"/>
      <c r="K107" s="178"/>
      <c r="L107" s="178"/>
      <c r="M107" s="178"/>
      <c r="N107" s="178"/>
      <c r="O107" s="178"/>
    </row>
    <row r="108" spans="9:15" x14ac:dyDescent="0.15">
      <c r="I108" s="178"/>
      <c r="J108" s="178"/>
      <c r="K108" s="178"/>
      <c r="L108" s="178"/>
      <c r="M108" s="178"/>
      <c r="N108" s="178"/>
      <c r="O108" s="178"/>
    </row>
    <row r="109" spans="9:15" x14ac:dyDescent="0.15">
      <c r="I109" s="178"/>
      <c r="J109" s="178"/>
      <c r="K109" s="178"/>
      <c r="L109" s="178"/>
      <c r="M109" s="178"/>
      <c r="N109" s="178"/>
      <c r="O109" s="178"/>
    </row>
    <row r="110" spans="9:15" x14ac:dyDescent="0.15">
      <c r="I110" s="178"/>
      <c r="J110" s="178"/>
      <c r="K110" s="178"/>
      <c r="L110" s="178"/>
      <c r="M110" s="178"/>
      <c r="N110" s="178"/>
      <c r="O110" s="178"/>
    </row>
    <row r="111" spans="9:15" x14ac:dyDescent="0.15">
      <c r="I111" s="178"/>
      <c r="J111" s="178"/>
      <c r="K111" s="178"/>
      <c r="L111" s="178"/>
      <c r="M111" s="178"/>
      <c r="N111" s="178"/>
      <c r="O111" s="178"/>
    </row>
    <row r="112" spans="9:15" x14ac:dyDescent="0.15">
      <c r="I112" s="178"/>
      <c r="J112" s="178"/>
      <c r="K112" s="178"/>
      <c r="L112" s="178"/>
      <c r="M112" s="178"/>
      <c r="N112" s="178"/>
      <c r="O112" s="178"/>
    </row>
    <row r="113" spans="9:15" x14ac:dyDescent="0.15">
      <c r="I113" s="178"/>
      <c r="J113" s="178"/>
      <c r="K113" s="178"/>
      <c r="L113" s="178"/>
      <c r="M113" s="178"/>
      <c r="N113" s="178"/>
      <c r="O113" s="178"/>
    </row>
    <row r="114" spans="9:15" x14ac:dyDescent="0.15">
      <c r="I114" s="178"/>
      <c r="J114" s="178"/>
      <c r="K114" s="178"/>
      <c r="L114" s="178"/>
      <c r="M114" s="178"/>
      <c r="N114" s="178"/>
      <c r="O114" s="178"/>
    </row>
    <row r="115" spans="9:15" x14ac:dyDescent="0.15">
      <c r="I115" s="178"/>
      <c r="J115" s="178"/>
      <c r="K115" s="178"/>
      <c r="L115" s="178"/>
      <c r="M115" s="178"/>
      <c r="N115" s="178"/>
      <c r="O115" s="178"/>
    </row>
    <row r="116" spans="9:15" x14ac:dyDescent="0.15">
      <c r="I116" s="178"/>
      <c r="J116" s="178"/>
      <c r="K116" s="178"/>
      <c r="L116" s="178"/>
      <c r="M116" s="178"/>
      <c r="N116" s="178"/>
      <c r="O116" s="178"/>
    </row>
    <row r="117" spans="9:15" x14ac:dyDescent="0.15">
      <c r="I117" s="178"/>
      <c r="J117" s="178"/>
      <c r="K117" s="178"/>
      <c r="L117" s="178"/>
      <c r="M117" s="178"/>
      <c r="N117" s="178"/>
      <c r="O117" s="178"/>
    </row>
    <row r="118" spans="9:15" x14ac:dyDescent="0.15">
      <c r="I118" s="178"/>
      <c r="J118" s="178"/>
      <c r="K118" s="178"/>
      <c r="L118" s="178"/>
      <c r="M118" s="178"/>
      <c r="N118" s="178"/>
      <c r="O118" s="178"/>
    </row>
    <row r="119" spans="9:15" x14ac:dyDescent="0.15">
      <c r="I119" s="178"/>
      <c r="J119" s="178"/>
      <c r="K119" s="178"/>
      <c r="L119" s="178"/>
      <c r="M119" s="178"/>
      <c r="N119" s="178"/>
      <c r="O119" s="178"/>
    </row>
    <row r="120" spans="9:15" x14ac:dyDescent="0.15">
      <c r="I120" s="178"/>
      <c r="J120" s="178"/>
      <c r="K120" s="178"/>
      <c r="L120" s="178"/>
      <c r="M120" s="178"/>
      <c r="N120" s="178"/>
      <c r="O120" s="178"/>
    </row>
    <row r="121" spans="9:15" x14ac:dyDescent="0.15">
      <c r="I121" s="178"/>
      <c r="J121" s="178"/>
      <c r="K121" s="178"/>
      <c r="L121" s="178"/>
      <c r="M121" s="178"/>
      <c r="N121" s="178"/>
      <c r="O121" s="178"/>
    </row>
    <row r="122" spans="9:15" x14ac:dyDescent="0.15">
      <c r="I122" s="178"/>
      <c r="J122" s="178"/>
      <c r="K122" s="178"/>
      <c r="L122" s="178"/>
      <c r="M122" s="178"/>
      <c r="N122" s="178"/>
      <c r="O122" s="178"/>
    </row>
    <row r="123" spans="9:15" x14ac:dyDescent="0.15">
      <c r="I123" s="178"/>
      <c r="J123" s="178"/>
      <c r="K123" s="178"/>
      <c r="L123" s="178"/>
      <c r="M123" s="178"/>
      <c r="N123" s="178"/>
      <c r="O123" s="178"/>
    </row>
    <row r="124" spans="9:15" x14ac:dyDescent="0.15">
      <c r="I124" s="178"/>
      <c r="J124" s="178"/>
      <c r="K124" s="178"/>
      <c r="L124" s="178"/>
      <c r="M124" s="178"/>
      <c r="N124" s="178"/>
      <c r="O124" s="178"/>
    </row>
    <row r="125" spans="9:15" x14ac:dyDescent="0.15">
      <c r="I125" s="178"/>
      <c r="J125" s="178"/>
      <c r="K125" s="178"/>
      <c r="L125" s="178"/>
      <c r="M125" s="178"/>
      <c r="N125" s="178"/>
      <c r="O125" s="178"/>
    </row>
    <row r="126" spans="9:15" x14ac:dyDescent="0.15">
      <c r="I126" s="178"/>
      <c r="J126" s="178"/>
      <c r="K126" s="178"/>
      <c r="L126" s="178"/>
      <c r="M126" s="178"/>
      <c r="N126" s="178"/>
      <c r="O126" s="178"/>
    </row>
    <row r="127" spans="9:15" x14ac:dyDescent="0.15">
      <c r="I127" s="178"/>
      <c r="J127" s="178"/>
      <c r="K127" s="178"/>
      <c r="L127" s="178"/>
      <c r="M127" s="178"/>
      <c r="N127" s="178"/>
      <c r="O127" s="178"/>
    </row>
    <row r="128" spans="9:15" x14ac:dyDescent="0.15">
      <c r="I128" s="178"/>
      <c r="J128" s="178"/>
      <c r="K128" s="178"/>
      <c r="L128" s="178"/>
      <c r="M128" s="178"/>
      <c r="N128" s="178"/>
      <c r="O128" s="178"/>
    </row>
    <row r="129" spans="9:15" x14ac:dyDescent="0.15">
      <c r="I129" s="178"/>
      <c r="J129" s="178"/>
      <c r="K129" s="178"/>
      <c r="L129" s="178"/>
      <c r="M129" s="178"/>
      <c r="N129" s="178"/>
      <c r="O129" s="178"/>
    </row>
    <row r="130" spans="9:15" x14ac:dyDescent="0.15">
      <c r="I130" s="178"/>
      <c r="J130" s="178"/>
      <c r="K130" s="178"/>
      <c r="L130" s="178"/>
      <c r="M130" s="178"/>
      <c r="N130" s="178"/>
      <c r="O130" s="178"/>
    </row>
    <row r="131" spans="9:15" x14ac:dyDescent="0.15">
      <c r="I131" s="178"/>
      <c r="J131" s="178"/>
      <c r="K131" s="178"/>
      <c r="L131" s="178"/>
      <c r="M131" s="178"/>
      <c r="N131" s="178"/>
      <c r="O131" s="178"/>
    </row>
    <row r="132" spans="9:15" x14ac:dyDescent="0.15">
      <c r="I132" s="178"/>
      <c r="J132" s="178"/>
      <c r="K132" s="178"/>
      <c r="L132" s="178"/>
      <c r="M132" s="178"/>
      <c r="N132" s="178"/>
      <c r="O132" s="178"/>
    </row>
    <row r="133" spans="9:15" x14ac:dyDescent="0.15">
      <c r="I133" s="178"/>
      <c r="J133" s="178"/>
      <c r="K133" s="178"/>
      <c r="L133" s="178"/>
      <c r="M133" s="178"/>
      <c r="N133" s="178"/>
      <c r="O133" s="178"/>
    </row>
    <row r="134" spans="9:15" x14ac:dyDescent="0.15">
      <c r="I134" s="178"/>
      <c r="J134" s="178"/>
      <c r="K134" s="178"/>
      <c r="L134" s="178"/>
      <c r="M134" s="178"/>
      <c r="N134" s="178"/>
      <c r="O134" s="178"/>
    </row>
    <row r="135" spans="9:15" x14ac:dyDescent="0.15">
      <c r="I135" s="178"/>
      <c r="J135" s="178"/>
      <c r="K135" s="178"/>
      <c r="L135" s="178"/>
      <c r="M135" s="178"/>
      <c r="N135" s="178"/>
      <c r="O135" s="178"/>
    </row>
    <row r="136" spans="9:15" x14ac:dyDescent="0.15">
      <c r="I136" s="178"/>
      <c r="J136" s="178"/>
      <c r="K136" s="178"/>
      <c r="L136" s="178"/>
      <c r="M136" s="178"/>
      <c r="N136" s="178"/>
      <c r="O136" s="178"/>
    </row>
    <row r="137" spans="9:15" x14ac:dyDescent="0.15">
      <c r="I137" s="178"/>
      <c r="J137" s="178"/>
      <c r="K137" s="178"/>
      <c r="L137" s="178"/>
      <c r="M137" s="178"/>
      <c r="N137" s="178"/>
      <c r="O137" s="178"/>
    </row>
    <row r="138" spans="9:15" x14ac:dyDescent="0.15">
      <c r="I138" s="178"/>
      <c r="J138" s="178"/>
      <c r="K138" s="178"/>
      <c r="L138" s="178"/>
      <c r="M138" s="178"/>
      <c r="N138" s="178"/>
      <c r="O138" s="178"/>
    </row>
    <row r="139" spans="9:15" x14ac:dyDescent="0.15">
      <c r="I139" s="178"/>
      <c r="J139" s="178"/>
      <c r="K139" s="178"/>
      <c r="L139" s="178"/>
      <c r="M139" s="178"/>
      <c r="N139" s="178"/>
      <c r="O139" s="178"/>
    </row>
    <row r="140" spans="9:15" x14ac:dyDescent="0.15">
      <c r="I140" s="178"/>
      <c r="J140" s="178"/>
      <c r="K140" s="178"/>
      <c r="L140" s="178"/>
      <c r="M140" s="178"/>
      <c r="N140" s="178"/>
      <c r="O140" s="178"/>
    </row>
    <row r="141" spans="9:15" x14ac:dyDescent="0.15">
      <c r="I141" s="178"/>
      <c r="J141" s="178"/>
      <c r="K141" s="178"/>
      <c r="L141" s="178"/>
      <c r="M141" s="178"/>
      <c r="N141" s="178"/>
      <c r="O141" s="178"/>
    </row>
    <row r="142" spans="9:15" x14ac:dyDescent="0.15">
      <c r="I142" s="178"/>
      <c r="J142" s="178"/>
      <c r="K142" s="178"/>
      <c r="L142" s="178"/>
      <c r="M142" s="178"/>
      <c r="N142" s="178"/>
    </row>
    <row r="143" spans="9:15" x14ac:dyDescent="0.15">
      <c r="I143" s="178"/>
      <c r="J143" s="178"/>
      <c r="K143" s="178"/>
      <c r="L143" s="178"/>
      <c r="M143" s="178"/>
      <c r="N143" s="178"/>
    </row>
    <row r="144" spans="9:15" x14ac:dyDescent="0.15">
      <c r="I144" s="178"/>
      <c r="J144" s="178"/>
      <c r="K144" s="178"/>
      <c r="L144" s="178"/>
      <c r="M144" s="178"/>
      <c r="N144" s="178"/>
    </row>
    <row r="145" spans="9:14" x14ac:dyDescent="0.15">
      <c r="I145" s="178"/>
      <c r="J145" s="178"/>
      <c r="K145" s="178"/>
      <c r="L145" s="178"/>
      <c r="M145" s="178"/>
      <c r="N145" s="178"/>
    </row>
    <row r="146" spans="9:14" x14ac:dyDescent="0.15">
      <c r="I146" s="178"/>
      <c r="J146" s="178"/>
      <c r="K146" s="178"/>
      <c r="L146" s="178"/>
      <c r="M146" s="178"/>
      <c r="N146" s="178"/>
    </row>
    <row r="147" spans="9:14" x14ac:dyDescent="0.15">
      <c r="I147" s="178"/>
      <c r="J147" s="178"/>
      <c r="K147" s="178"/>
      <c r="L147" s="178"/>
      <c r="M147" s="178"/>
      <c r="N147" s="178"/>
    </row>
    <row r="148" spans="9:14" x14ac:dyDescent="0.15">
      <c r="I148" s="178"/>
      <c r="J148" s="178"/>
      <c r="K148" s="178"/>
      <c r="L148" s="178"/>
      <c r="M148" s="178"/>
      <c r="N148" s="178"/>
    </row>
    <row r="149" spans="9:14" x14ac:dyDescent="0.15">
      <c r="I149" s="178"/>
      <c r="J149" s="178"/>
      <c r="K149" s="178"/>
      <c r="L149" s="178"/>
      <c r="M149" s="178"/>
      <c r="N149" s="178"/>
    </row>
    <row r="150" spans="9:14" x14ac:dyDescent="0.15">
      <c r="I150" s="178"/>
      <c r="J150" s="178"/>
      <c r="K150" s="178"/>
      <c r="L150" s="178"/>
      <c r="M150" s="178"/>
      <c r="N150" s="178"/>
    </row>
    <row r="151" spans="9:14" x14ac:dyDescent="0.15">
      <c r="I151" s="178"/>
      <c r="J151" s="178"/>
      <c r="K151" s="178"/>
      <c r="L151" s="178"/>
      <c r="M151" s="178"/>
      <c r="N151" s="178"/>
    </row>
    <row r="152" spans="9:14" x14ac:dyDescent="0.15">
      <c r="I152" s="178"/>
      <c r="J152" s="178"/>
      <c r="K152" s="178"/>
      <c r="L152" s="178"/>
      <c r="M152" s="178"/>
      <c r="N152" s="178"/>
    </row>
    <row r="153" spans="9:14" x14ac:dyDescent="0.15">
      <c r="I153" s="178"/>
      <c r="J153" s="178"/>
      <c r="K153" s="178"/>
      <c r="L153" s="178"/>
      <c r="M153" s="178"/>
      <c r="N153" s="178"/>
    </row>
    <row r="154" spans="9:14" x14ac:dyDescent="0.15">
      <c r="I154" s="178"/>
      <c r="J154" s="178"/>
      <c r="K154" s="178"/>
      <c r="L154" s="178"/>
      <c r="M154" s="178"/>
      <c r="N154" s="178"/>
    </row>
    <row r="155" spans="9:14" x14ac:dyDescent="0.15">
      <c r="I155" s="178"/>
      <c r="J155" s="178"/>
      <c r="K155" s="178"/>
      <c r="L155" s="178"/>
      <c r="M155" s="178"/>
      <c r="N155" s="178"/>
    </row>
    <row r="156" spans="9:14" x14ac:dyDescent="0.15">
      <c r="I156" s="178"/>
      <c r="J156" s="178"/>
      <c r="K156" s="178"/>
      <c r="L156" s="178"/>
      <c r="M156" s="178"/>
      <c r="N156" s="178"/>
    </row>
    <row r="157" spans="9:14" x14ac:dyDescent="0.15">
      <c r="I157" s="178"/>
      <c r="J157" s="178"/>
      <c r="K157" s="178"/>
      <c r="L157" s="178"/>
      <c r="M157" s="178"/>
      <c r="N157" s="178"/>
    </row>
    <row r="158" spans="9:14" x14ac:dyDescent="0.15">
      <c r="J158" s="178"/>
      <c r="K158" s="178"/>
      <c r="L158" s="178"/>
      <c r="M158" s="178"/>
      <c r="N158" s="178"/>
    </row>
    <row r="159" spans="9:14" x14ac:dyDescent="0.15">
      <c r="J159" s="178"/>
      <c r="K159" s="178"/>
      <c r="L159" s="178"/>
      <c r="M159" s="178"/>
      <c r="N159" s="178"/>
    </row>
    <row r="175" spans="15:15" x14ac:dyDescent="0.15">
      <c r="O175" s="178"/>
    </row>
    <row r="176" spans="15:15" x14ac:dyDescent="0.15">
      <c r="O176" s="178"/>
    </row>
    <row r="177" spans="15:15" x14ac:dyDescent="0.15">
      <c r="O177" s="178"/>
    </row>
    <row r="178" spans="15:15" x14ac:dyDescent="0.15">
      <c r="O178" s="178"/>
    </row>
    <row r="179" spans="15:15" x14ac:dyDescent="0.15">
      <c r="O179" s="178"/>
    </row>
    <row r="180" spans="15:15" x14ac:dyDescent="0.15">
      <c r="O180" s="178"/>
    </row>
    <row r="181" spans="15:15" x14ac:dyDescent="0.15">
      <c r="O181" s="178"/>
    </row>
    <row r="182" spans="15:15" x14ac:dyDescent="0.15">
      <c r="O182" s="178"/>
    </row>
    <row r="183" spans="15:15" x14ac:dyDescent="0.15">
      <c r="O183" s="178"/>
    </row>
    <row r="184" spans="15:15" x14ac:dyDescent="0.15">
      <c r="O184" s="178"/>
    </row>
    <row r="185" spans="15:15" x14ac:dyDescent="0.15">
      <c r="O185" s="178"/>
    </row>
    <row r="186" spans="15:15" x14ac:dyDescent="0.15">
      <c r="O186" s="178"/>
    </row>
    <row r="187" spans="15:15" x14ac:dyDescent="0.15">
      <c r="O187" s="178"/>
    </row>
    <row r="188" spans="15:15" x14ac:dyDescent="0.15">
      <c r="O188" s="178"/>
    </row>
    <row r="189" spans="15:15" x14ac:dyDescent="0.15">
      <c r="O189" s="178"/>
    </row>
    <row r="190" spans="15:15" x14ac:dyDescent="0.15">
      <c r="O190" s="178"/>
    </row>
    <row r="191" spans="15:15" x14ac:dyDescent="0.15">
      <c r="O191" s="178"/>
    </row>
    <row r="192" spans="15:15" x14ac:dyDescent="0.15">
      <c r="O192" s="178"/>
    </row>
    <row r="193" spans="15:15" x14ac:dyDescent="0.15">
      <c r="O193" s="178"/>
    </row>
    <row r="194" spans="15:15" x14ac:dyDescent="0.15">
      <c r="O194" s="178"/>
    </row>
  </sheetData>
  <mergeCells count="74">
    <mergeCell ref="T7:U7"/>
    <mergeCell ref="T8:U8"/>
    <mergeCell ref="T9:U9"/>
    <mergeCell ref="I14:I18"/>
    <mergeCell ref="T14:U14"/>
    <mergeCell ref="T20:U20"/>
    <mergeCell ref="I27:I30"/>
    <mergeCell ref="B5:B10"/>
    <mergeCell ref="T5:U5"/>
    <mergeCell ref="I6:I13"/>
    <mergeCell ref="T6:U6"/>
    <mergeCell ref="T10:U10"/>
    <mergeCell ref="I4:I5"/>
    <mergeCell ref="J4:J5"/>
    <mergeCell ref="M4:M5"/>
    <mergeCell ref="N4:N5"/>
    <mergeCell ref="T4:U4"/>
    <mergeCell ref="B11:B14"/>
    <mergeCell ref="T11:U11"/>
    <mergeCell ref="T12:U12"/>
    <mergeCell ref="T13:U13"/>
    <mergeCell ref="B31:B41"/>
    <mergeCell ref="B42:B52"/>
    <mergeCell ref="B15:B19"/>
    <mergeCell ref="T15:U15"/>
    <mergeCell ref="T16:U16"/>
    <mergeCell ref="T17:U17"/>
    <mergeCell ref="T18:U18"/>
    <mergeCell ref="I19:I22"/>
    <mergeCell ref="T21:U21"/>
    <mergeCell ref="B20:B23"/>
    <mergeCell ref="T22:U22"/>
    <mergeCell ref="T23:U23"/>
    <mergeCell ref="I23:I26"/>
    <mergeCell ref="B24:B27"/>
    <mergeCell ref="I31:I34"/>
    <mergeCell ref="T19:U19"/>
    <mergeCell ref="K37:L37"/>
    <mergeCell ref="I38:I45"/>
    <mergeCell ref="K38:L38"/>
    <mergeCell ref="K39:L39"/>
    <mergeCell ref="K40:L40"/>
    <mergeCell ref="Q40:R40"/>
    <mergeCell ref="K41:L41"/>
    <mergeCell ref="P41:P47"/>
    <mergeCell ref="K42:L42"/>
    <mergeCell ref="K43:L43"/>
    <mergeCell ref="K44:L44"/>
    <mergeCell ref="K45:L45"/>
    <mergeCell ref="K46:L46"/>
    <mergeCell ref="K47:L47"/>
    <mergeCell ref="I46:I49"/>
    <mergeCell ref="K48:L48"/>
    <mergeCell ref="P48:P59"/>
    <mergeCell ref="Q48:Q52"/>
    <mergeCell ref="K49:L49"/>
    <mergeCell ref="K50:L50"/>
    <mergeCell ref="K51:L51"/>
    <mergeCell ref="K52:L52"/>
    <mergeCell ref="K59:L59"/>
    <mergeCell ref="I60:J60"/>
    <mergeCell ref="K60:L60"/>
    <mergeCell ref="P60:Q60"/>
    <mergeCell ref="B53:B56"/>
    <mergeCell ref="K53:L53"/>
    <mergeCell ref="I54:I59"/>
    <mergeCell ref="K54:L54"/>
    <mergeCell ref="Q54:Q58"/>
    <mergeCell ref="K55:L55"/>
    <mergeCell ref="K56:L56"/>
    <mergeCell ref="B57:B60"/>
    <mergeCell ref="K57:L57"/>
    <mergeCell ref="K58:L58"/>
    <mergeCell ref="I50:I5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>
      <selection activeCell="R11" sqref="R11"/>
    </sheetView>
  </sheetViews>
  <sheetFormatPr defaultRowHeight="13.5" x14ac:dyDescent="0.15"/>
  <cols>
    <col min="1" max="1" width="1.625" style="49" customWidth="1"/>
    <col min="2" max="2" width="18" style="49" customWidth="1"/>
    <col min="3" max="15" width="6.125" style="49" customWidth="1"/>
    <col min="16" max="16384" width="9" style="49"/>
  </cols>
  <sheetData>
    <row r="1" spans="2:15" ht="9.9499999999999993" customHeight="1" x14ac:dyDescent="0.15"/>
    <row r="2" spans="2:15" ht="24.95" customHeight="1" x14ac:dyDescent="0.15">
      <c r="B2" s="49" t="s">
        <v>348</v>
      </c>
    </row>
    <row r="3" spans="2:15" ht="20.100000000000001" customHeight="1" x14ac:dyDescent="0.15">
      <c r="D3" s="119" t="s">
        <v>245</v>
      </c>
      <c r="E3" s="118" t="s">
        <v>349</v>
      </c>
      <c r="F3" s="118"/>
      <c r="G3" s="119" t="s">
        <v>246</v>
      </c>
      <c r="H3" s="118" t="s">
        <v>406</v>
      </c>
      <c r="I3" s="118" t="s">
        <v>407</v>
      </c>
    </row>
    <row r="4" spans="2:15" ht="20.100000000000001" customHeight="1" thickBot="1" x14ac:dyDescent="0.2">
      <c r="B4" s="5" t="s">
        <v>259</v>
      </c>
      <c r="C4" s="5" t="s">
        <v>260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8" t="s">
        <v>261</v>
      </c>
      <c r="C5" s="319">
        <v>1</v>
      </c>
      <c r="D5" s="319">
        <v>2</v>
      </c>
      <c r="E5" s="319">
        <v>3</v>
      </c>
      <c r="F5" s="319">
        <v>4</v>
      </c>
      <c r="G5" s="319">
        <v>5</v>
      </c>
      <c r="H5" s="319">
        <v>6</v>
      </c>
      <c r="I5" s="319">
        <v>7</v>
      </c>
      <c r="J5" s="319">
        <v>8</v>
      </c>
      <c r="K5" s="319">
        <v>9</v>
      </c>
      <c r="L5" s="319">
        <v>10</v>
      </c>
      <c r="M5" s="319">
        <v>11</v>
      </c>
      <c r="N5" s="319">
        <v>12</v>
      </c>
      <c r="O5" s="320" t="s">
        <v>262</v>
      </c>
    </row>
    <row r="6" spans="2:15" ht="20.100000000000001" customHeight="1" x14ac:dyDescent="0.15">
      <c r="B6" s="321" t="s">
        <v>343</v>
      </c>
      <c r="C6" s="322">
        <v>118</v>
      </c>
      <c r="D6" s="322">
        <v>86</v>
      </c>
      <c r="E6" s="322">
        <v>89</v>
      </c>
      <c r="F6" s="322">
        <v>123</v>
      </c>
      <c r="G6" s="322">
        <v>122</v>
      </c>
      <c r="H6" s="322">
        <v>65</v>
      </c>
      <c r="I6" s="322">
        <v>59</v>
      </c>
      <c r="J6" s="322">
        <v>96</v>
      </c>
      <c r="K6" s="322">
        <v>98</v>
      </c>
      <c r="L6" s="322">
        <v>73</v>
      </c>
      <c r="M6" s="322">
        <v>47</v>
      </c>
      <c r="N6" s="322">
        <v>54</v>
      </c>
      <c r="O6" s="153">
        <v>87</v>
      </c>
    </row>
    <row r="7" spans="2:15" ht="20.100000000000001" customHeight="1" x14ac:dyDescent="0.15">
      <c r="B7" s="321" t="s">
        <v>344</v>
      </c>
      <c r="C7" s="322">
        <v>79</v>
      </c>
      <c r="D7" s="322">
        <v>88</v>
      </c>
      <c r="E7" s="322">
        <v>88</v>
      </c>
      <c r="F7" s="322">
        <v>139</v>
      </c>
      <c r="G7" s="322">
        <v>104</v>
      </c>
      <c r="H7" s="322">
        <v>91</v>
      </c>
      <c r="I7" s="322">
        <v>95</v>
      </c>
      <c r="J7" s="322">
        <v>96</v>
      </c>
      <c r="K7" s="322">
        <v>98</v>
      </c>
      <c r="L7" s="322">
        <v>105</v>
      </c>
      <c r="M7" s="322">
        <v>133</v>
      </c>
      <c r="N7" s="322">
        <v>81</v>
      </c>
      <c r="O7" s="153">
        <v>106</v>
      </c>
    </row>
    <row r="8" spans="2:15" ht="20.100000000000001" customHeight="1" x14ac:dyDescent="0.15">
      <c r="B8" s="321" t="s">
        <v>345</v>
      </c>
      <c r="C8" s="322">
        <v>95</v>
      </c>
      <c r="D8" s="322">
        <v>133</v>
      </c>
      <c r="E8" s="322">
        <v>92</v>
      </c>
      <c r="F8" s="322">
        <v>77</v>
      </c>
      <c r="G8" s="322">
        <v>49</v>
      </c>
      <c r="H8" s="322">
        <v>62</v>
      </c>
      <c r="I8" s="322">
        <v>102</v>
      </c>
      <c r="J8" s="322">
        <v>64</v>
      </c>
      <c r="K8" s="322">
        <v>92</v>
      </c>
      <c r="L8" s="322">
        <v>98</v>
      </c>
      <c r="M8" s="322">
        <v>67</v>
      </c>
      <c r="N8" s="322">
        <v>68</v>
      </c>
      <c r="O8" s="153">
        <v>82</v>
      </c>
    </row>
    <row r="9" spans="2:15" ht="20.100000000000001" customHeight="1" x14ac:dyDescent="0.15">
      <c r="B9" s="321" t="s">
        <v>346</v>
      </c>
      <c r="C9" s="322">
        <v>110</v>
      </c>
      <c r="D9" s="322">
        <v>126</v>
      </c>
      <c r="E9" s="322">
        <v>106</v>
      </c>
      <c r="F9" s="322">
        <v>116</v>
      </c>
      <c r="G9" s="322">
        <v>98</v>
      </c>
      <c r="H9" s="322">
        <v>59</v>
      </c>
      <c r="I9" s="322">
        <v>57</v>
      </c>
      <c r="J9" s="322">
        <v>63</v>
      </c>
      <c r="K9" s="322">
        <v>57</v>
      </c>
      <c r="L9" s="322">
        <v>49</v>
      </c>
      <c r="M9" s="322">
        <v>48</v>
      </c>
      <c r="N9" s="322">
        <v>74</v>
      </c>
      <c r="O9" s="153">
        <v>82</v>
      </c>
    </row>
    <row r="10" spans="2:15" ht="20.100000000000001" customHeight="1" x14ac:dyDescent="0.15">
      <c r="B10" s="321" t="s">
        <v>347</v>
      </c>
      <c r="C10" s="322">
        <v>106</v>
      </c>
      <c r="D10" s="322">
        <v>91</v>
      </c>
      <c r="E10" s="322">
        <v>74</v>
      </c>
      <c r="F10" s="322">
        <v>91</v>
      </c>
      <c r="G10" s="322">
        <v>65</v>
      </c>
      <c r="H10" s="322">
        <v>78</v>
      </c>
      <c r="I10" s="322">
        <v>101</v>
      </c>
      <c r="J10" s="322">
        <v>83</v>
      </c>
      <c r="K10" s="322">
        <v>101</v>
      </c>
      <c r="L10" s="322">
        <v>110</v>
      </c>
      <c r="M10" s="322">
        <v>119</v>
      </c>
      <c r="N10" s="322">
        <v>132</v>
      </c>
      <c r="O10" s="153">
        <v>94</v>
      </c>
    </row>
    <row r="11" spans="2:15" ht="20.100000000000001" customHeight="1" thickBot="1" x14ac:dyDescent="0.2">
      <c r="B11" s="323" t="s">
        <v>263</v>
      </c>
      <c r="C11" s="324">
        <f>AVERAGE(C6:C10)</f>
        <v>101.6</v>
      </c>
      <c r="D11" s="324">
        <f t="shared" ref="D11:O11" si="0">AVERAGE(D6:D10)</f>
        <v>104.8</v>
      </c>
      <c r="E11" s="324">
        <f t="shared" si="0"/>
        <v>89.8</v>
      </c>
      <c r="F11" s="324">
        <f t="shared" si="0"/>
        <v>109.2</v>
      </c>
      <c r="G11" s="324">
        <f t="shared" si="0"/>
        <v>87.6</v>
      </c>
      <c r="H11" s="324">
        <f t="shared" si="0"/>
        <v>71</v>
      </c>
      <c r="I11" s="324">
        <f t="shared" si="0"/>
        <v>82.8</v>
      </c>
      <c r="J11" s="324">
        <f t="shared" si="0"/>
        <v>80.400000000000006</v>
      </c>
      <c r="K11" s="324">
        <f t="shared" si="0"/>
        <v>89.2</v>
      </c>
      <c r="L11" s="324">
        <f t="shared" si="0"/>
        <v>87</v>
      </c>
      <c r="M11" s="324">
        <f t="shared" si="0"/>
        <v>82.8</v>
      </c>
      <c r="N11" s="324">
        <f t="shared" si="0"/>
        <v>81.8</v>
      </c>
      <c r="O11" s="325">
        <f t="shared" si="0"/>
        <v>90.2</v>
      </c>
    </row>
    <row r="12" spans="2:15" ht="20.100000000000001" customHeight="1" x14ac:dyDescent="0.15"/>
    <row r="13" spans="2:15" ht="20.100000000000001" customHeight="1" thickBot="1" x14ac:dyDescent="0.2">
      <c r="B13" s="5" t="s">
        <v>259</v>
      </c>
      <c r="C13" s="5" t="s">
        <v>264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18" t="s">
        <v>261</v>
      </c>
      <c r="C14" s="319">
        <v>1</v>
      </c>
      <c r="D14" s="319">
        <v>2</v>
      </c>
      <c r="E14" s="319">
        <v>3</v>
      </c>
      <c r="F14" s="319">
        <v>4</v>
      </c>
      <c r="G14" s="319">
        <v>5</v>
      </c>
      <c r="H14" s="319">
        <v>6</v>
      </c>
      <c r="I14" s="319">
        <v>7</v>
      </c>
      <c r="J14" s="319">
        <v>8</v>
      </c>
      <c r="K14" s="319">
        <v>9</v>
      </c>
      <c r="L14" s="319">
        <v>10</v>
      </c>
      <c r="M14" s="319">
        <v>11</v>
      </c>
      <c r="N14" s="319">
        <v>12</v>
      </c>
      <c r="O14" s="320" t="s">
        <v>262</v>
      </c>
    </row>
    <row r="15" spans="2:15" ht="20.100000000000001" customHeight="1" x14ac:dyDescent="0.15">
      <c r="B15" s="321" t="s">
        <v>343</v>
      </c>
      <c r="C15" s="322">
        <v>103</v>
      </c>
      <c r="D15" s="322">
        <v>79</v>
      </c>
      <c r="E15" s="322">
        <v>67</v>
      </c>
      <c r="F15" s="322">
        <v>98</v>
      </c>
      <c r="G15" s="322">
        <v>99</v>
      </c>
      <c r="H15" s="322">
        <v>53</v>
      </c>
      <c r="I15" s="322">
        <v>43</v>
      </c>
      <c r="J15" s="322">
        <v>69</v>
      </c>
      <c r="K15" s="322">
        <v>94</v>
      </c>
      <c r="L15" s="322">
        <v>67</v>
      </c>
      <c r="M15" s="322">
        <v>51</v>
      </c>
      <c r="N15" s="322">
        <v>39</v>
      </c>
      <c r="O15" s="153">
        <v>65</v>
      </c>
    </row>
    <row r="16" spans="2:15" ht="20.100000000000001" customHeight="1" x14ac:dyDescent="0.15">
      <c r="B16" s="321" t="s">
        <v>344</v>
      </c>
      <c r="C16" s="322">
        <v>63</v>
      </c>
      <c r="D16" s="322">
        <v>73</v>
      </c>
      <c r="E16" s="322">
        <v>70</v>
      </c>
      <c r="F16" s="322">
        <v>106</v>
      </c>
      <c r="G16" s="322">
        <v>87</v>
      </c>
      <c r="H16" s="322">
        <v>61</v>
      </c>
      <c r="I16" s="322">
        <v>91</v>
      </c>
      <c r="J16" s="322">
        <v>109</v>
      </c>
      <c r="K16" s="322">
        <v>95</v>
      </c>
      <c r="L16" s="322">
        <v>86</v>
      </c>
      <c r="M16" s="322">
        <v>136</v>
      </c>
      <c r="N16" s="322">
        <v>72</v>
      </c>
      <c r="O16" s="153">
        <v>76</v>
      </c>
    </row>
    <row r="17" spans="2:15" ht="20.100000000000001" customHeight="1" x14ac:dyDescent="0.15">
      <c r="B17" s="321" t="s">
        <v>345</v>
      </c>
      <c r="C17" s="322">
        <v>85</v>
      </c>
      <c r="D17" s="322">
        <v>124</v>
      </c>
      <c r="E17" s="322">
        <v>81</v>
      </c>
      <c r="F17" s="322">
        <v>83</v>
      </c>
      <c r="G17" s="322">
        <v>44</v>
      </c>
      <c r="H17" s="322">
        <v>76</v>
      </c>
      <c r="I17" s="322">
        <v>95</v>
      </c>
      <c r="J17" s="322">
        <v>56</v>
      </c>
      <c r="K17" s="322">
        <v>100</v>
      </c>
      <c r="L17" s="322">
        <v>94</v>
      </c>
      <c r="M17" s="322">
        <v>66</v>
      </c>
      <c r="N17" s="322">
        <v>62</v>
      </c>
      <c r="O17" s="153">
        <v>83</v>
      </c>
    </row>
    <row r="18" spans="2:15" ht="20.100000000000001" customHeight="1" x14ac:dyDescent="0.15">
      <c r="B18" s="321" t="s">
        <v>346</v>
      </c>
      <c r="C18" s="322">
        <v>113</v>
      </c>
      <c r="D18" s="322">
        <v>132</v>
      </c>
      <c r="E18" s="322">
        <v>100</v>
      </c>
      <c r="F18" s="322">
        <v>96</v>
      </c>
      <c r="G18" s="322">
        <v>96</v>
      </c>
      <c r="H18" s="322">
        <v>47</v>
      </c>
      <c r="I18" s="322">
        <v>46</v>
      </c>
      <c r="J18" s="322">
        <v>59</v>
      </c>
      <c r="K18" s="322">
        <v>50</v>
      </c>
      <c r="L18" s="322">
        <v>50</v>
      </c>
      <c r="M18" s="322">
        <v>52</v>
      </c>
      <c r="N18" s="322">
        <v>64</v>
      </c>
      <c r="O18" s="153">
        <v>70</v>
      </c>
    </row>
    <row r="19" spans="2:15" ht="20.100000000000001" customHeight="1" x14ac:dyDescent="0.15">
      <c r="B19" s="321" t="s">
        <v>347</v>
      </c>
      <c r="C19" s="322">
        <v>82</v>
      </c>
      <c r="D19" s="322">
        <v>79</v>
      </c>
      <c r="E19" s="322">
        <v>65</v>
      </c>
      <c r="F19" s="322">
        <v>65</v>
      </c>
      <c r="G19" s="322">
        <v>55</v>
      </c>
      <c r="H19" s="322">
        <v>79</v>
      </c>
      <c r="I19" s="322">
        <v>78</v>
      </c>
      <c r="J19" s="322">
        <v>55</v>
      </c>
      <c r="K19" s="322">
        <v>89</v>
      </c>
      <c r="L19" s="322">
        <v>103</v>
      </c>
      <c r="M19" s="322">
        <v>94</v>
      </c>
      <c r="N19" s="322">
        <v>122</v>
      </c>
      <c r="O19" s="153">
        <v>83</v>
      </c>
    </row>
    <row r="20" spans="2:15" ht="20.100000000000001" customHeight="1" thickBot="1" x14ac:dyDescent="0.2">
      <c r="B20" s="323" t="s">
        <v>263</v>
      </c>
      <c r="C20" s="324">
        <f>AVERAGE(C15:C19)</f>
        <v>89.2</v>
      </c>
      <c r="D20" s="324">
        <f t="shared" ref="D20:O20" si="1">AVERAGE(D15:D19)</f>
        <v>97.4</v>
      </c>
      <c r="E20" s="324">
        <f t="shared" si="1"/>
        <v>76.599999999999994</v>
      </c>
      <c r="F20" s="324">
        <f t="shared" si="1"/>
        <v>89.6</v>
      </c>
      <c r="G20" s="324">
        <f t="shared" si="1"/>
        <v>76.2</v>
      </c>
      <c r="H20" s="324">
        <f t="shared" si="1"/>
        <v>63.2</v>
      </c>
      <c r="I20" s="324">
        <f>AVERAGE(I15:I19)</f>
        <v>70.599999999999994</v>
      </c>
      <c r="J20" s="324">
        <f t="shared" si="1"/>
        <v>69.599999999999994</v>
      </c>
      <c r="K20" s="324">
        <f t="shared" si="1"/>
        <v>85.6</v>
      </c>
      <c r="L20" s="324">
        <f t="shared" si="1"/>
        <v>80</v>
      </c>
      <c r="M20" s="324">
        <f t="shared" si="1"/>
        <v>79.8</v>
      </c>
      <c r="N20" s="324">
        <f t="shared" si="1"/>
        <v>71.8</v>
      </c>
      <c r="O20" s="325">
        <f t="shared" si="1"/>
        <v>75.400000000000006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１　対象経営の概要，２　前提条件</vt:lpstr>
      <vt:lpstr>３　キャベツ標準技術</vt:lpstr>
      <vt:lpstr>４　経営収支</vt:lpstr>
      <vt:lpstr>５　キャベツ作業時間</vt:lpstr>
      <vt:lpstr>６　固定資本装備と減価償却費</vt:lpstr>
      <vt:lpstr>７　キャベツ収支</vt:lpstr>
      <vt:lpstr>８　キャベツ算出基礎</vt:lpstr>
      <vt:lpstr>９　キャベツ単価算出基礎</vt:lpstr>
      <vt:lpstr>'５　キャベツ作業時間'!Print_Area</vt:lpstr>
      <vt:lpstr>'６　固定資本装備と減価償却費'!Print_Area</vt:lpstr>
      <vt:lpstr>'７　キャベツ収支'!Print_Area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2015-02-17T06:44:50Z</cp:lastPrinted>
  <dcterms:created xsi:type="dcterms:W3CDTF">2005-02-26T02:20:11Z</dcterms:created>
  <dcterms:modified xsi:type="dcterms:W3CDTF">2015-03-24T04:25:20Z</dcterms:modified>
</cp:coreProperties>
</file>