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60" windowWidth="10410" windowHeight="7200" tabRatio="881"/>
  </bookViews>
  <sheets>
    <sheet name="１　対象経営の概要，２　前提条件" sheetId="19" r:id="rId1"/>
    <sheet name="３　日本なし標準技術" sheetId="24" r:id="rId2"/>
    <sheet name="4.経営収支(法人様式）" sheetId="45" r:id="rId3"/>
    <sheet name="５　作業時間" sheetId="27" r:id="rId4"/>
    <sheet name="５-１あけみず時間" sheetId="55" r:id="rId5"/>
    <sheet name="５-２幸水時間" sheetId="54" r:id="rId6"/>
    <sheet name="５-３豊水時間" sheetId="53" r:id="rId7"/>
    <sheet name="５-４あきづき時間" sheetId="52" r:id="rId8"/>
    <sheet name="６　固定資本装備と減価償却費" sheetId="30" r:id="rId9"/>
    <sheet name="７-１　あけみず収支" sheetId="35" r:id="rId10"/>
    <sheet name="７-２幸水収支" sheetId="58" r:id="rId11"/>
    <sheet name="７-３豊水収支" sheetId="57" r:id="rId12"/>
    <sheet name="７-４あきづき収支" sheetId="56" r:id="rId13"/>
    <sheet name="８　算出基礎" sheetId="36" r:id="rId14"/>
    <sheet name="９-1　あけみず単価" sheetId="59" r:id="rId15"/>
    <sheet name="９-2幸水単価" sheetId="60" r:id="rId16"/>
    <sheet name="９-3豊水単価" sheetId="61" r:id="rId17"/>
    <sheet name="９-4あきづき単価" sheetId="62" r:id="rId18"/>
    <sheet name="単価基礎" sheetId="42" state="hidden" r:id="rId19"/>
    <sheet name="肥料算出基礎" sheetId="44" state="hidden" r:id="rId20"/>
    <sheet name="農薬算出基礎" sheetId="43" state="hidden" r:id="rId21"/>
  </sheet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2">'4.経営収支(法人様式）'!$B$1:$K$54</definedName>
    <definedName name="_xlnm.Print_Area" localSheetId="3">'５　作業時間'!$A$1:$AM$23</definedName>
    <definedName name="_xlnm.Print_Area" localSheetId="4">'５-１あけみず時間'!$A$1:$AL$19</definedName>
    <definedName name="_xlnm.Print_Area" localSheetId="5">'５-２幸水時間'!$A$1:$AL$19</definedName>
    <definedName name="_xlnm.Print_Area" localSheetId="6">'５-３豊水時間'!$A$1:$AL$20</definedName>
    <definedName name="_xlnm.Print_Area" localSheetId="7">'５-４あきづき時間'!$A$1:$AL$20</definedName>
    <definedName name="_xlnm.Print_Area" localSheetId="8">'６　固定資本装備と減価償却費'!$A$1:$P$30</definedName>
    <definedName name="_xlnm.Print_Area" localSheetId="9">'７-１　あけみず収支'!$A$1:$S$37</definedName>
    <definedName name="_xlnm.Print_Area" localSheetId="10">'７-２幸水収支'!$A$2:$S$37</definedName>
    <definedName name="_xlnm.Print_Area" localSheetId="11">'７-３豊水収支'!$A$2:$S$37</definedName>
    <definedName name="_xlnm.Print_Area" localSheetId="12">'７-４あきづき収支'!$A$1:$S$37</definedName>
    <definedName name="_xlnm.Print_Area" localSheetId="13">'８　算出基礎'!$A$1:$V$68</definedName>
    <definedName name="_xlnm.Print_Area" localSheetId="18">単価基礎!$A$1:$S$30</definedName>
    <definedName name="_xlnm.Print_Area" localSheetId="20">農薬算出基礎!$A$1:$I$46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G8" i="45" l="1"/>
  <c r="K22" i="30" l="1"/>
  <c r="K21" i="30"/>
  <c r="K20" i="30"/>
  <c r="K19" i="30"/>
  <c r="K18" i="30"/>
  <c r="K17" i="30"/>
  <c r="K16" i="30"/>
  <c r="K15" i="30"/>
  <c r="K14" i="30"/>
  <c r="K13" i="30"/>
  <c r="K12" i="30"/>
  <c r="K6" i="30"/>
  <c r="K7" i="30"/>
  <c r="K8" i="30"/>
  <c r="K9" i="30"/>
  <c r="K10" i="30"/>
  <c r="K5" i="30"/>
  <c r="N45" i="36" l="1"/>
  <c r="M5" i="56" l="1"/>
  <c r="M5" i="57"/>
  <c r="M5" i="35"/>
  <c r="M5" i="58"/>
  <c r="O20" i="62"/>
  <c r="O20" i="61"/>
  <c r="O20" i="60"/>
  <c r="O20" i="59"/>
  <c r="V24" i="36" l="1"/>
  <c r="F25" i="58" l="1"/>
  <c r="F25" i="57" s="1"/>
  <c r="F25" i="56" s="1"/>
  <c r="F24" i="58"/>
  <c r="F24" i="57" s="1"/>
  <c r="F24" i="56" s="1"/>
  <c r="F18" i="58"/>
  <c r="F18" i="57" s="1"/>
  <c r="F18" i="56" s="1"/>
  <c r="F12" i="58"/>
  <c r="F12" i="57" s="1"/>
  <c r="F12" i="56" s="1"/>
  <c r="L5" i="58"/>
  <c r="N5" i="58" s="1"/>
  <c r="L5" i="57"/>
  <c r="N5" i="57" s="1"/>
  <c r="P9" i="56"/>
  <c r="P8" i="56"/>
  <c r="N6" i="56"/>
  <c r="R5" i="56"/>
  <c r="L5" i="56"/>
  <c r="F22" i="56" s="1"/>
  <c r="AK18" i="52"/>
  <c r="AJ18" i="52"/>
  <c r="AI18" i="52"/>
  <c r="AH18" i="52"/>
  <c r="AG18" i="52"/>
  <c r="AF18" i="52"/>
  <c r="AE18" i="52"/>
  <c r="AD18" i="52"/>
  <c r="AC18" i="52"/>
  <c r="AB18" i="52"/>
  <c r="AA18" i="52"/>
  <c r="Z18" i="52"/>
  <c r="Y18" i="52"/>
  <c r="X18" i="52"/>
  <c r="W18" i="52"/>
  <c r="V18" i="52"/>
  <c r="U18" i="52"/>
  <c r="T18" i="52"/>
  <c r="S18" i="52"/>
  <c r="R18" i="52"/>
  <c r="Q18" i="52"/>
  <c r="P18" i="52"/>
  <c r="O18" i="52"/>
  <c r="N18" i="52"/>
  <c r="M18" i="52"/>
  <c r="L18" i="52"/>
  <c r="K18" i="52"/>
  <c r="J18" i="52"/>
  <c r="I18" i="52"/>
  <c r="H18" i="52"/>
  <c r="G18" i="52"/>
  <c r="F18" i="52"/>
  <c r="E18" i="52"/>
  <c r="D18" i="52"/>
  <c r="C18" i="52"/>
  <c r="B18" i="52"/>
  <c r="AL17" i="52"/>
  <c r="AK16" i="52"/>
  <c r="AJ16" i="52"/>
  <c r="AI16" i="52"/>
  <c r="AH16" i="52"/>
  <c r="AG16" i="52"/>
  <c r="AF16" i="52"/>
  <c r="AE16" i="52"/>
  <c r="AD16" i="52"/>
  <c r="AC16" i="52"/>
  <c r="AB16" i="52"/>
  <c r="AA16" i="52"/>
  <c r="Z16" i="52"/>
  <c r="Y16" i="52"/>
  <c r="X16" i="52"/>
  <c r="W16" i="52"/>
  <c r="V16" i="52"/>
  <c r="U16" i="52"/>
  <c r="T16" i="52"/>
  <c r="S16" i="52"/>
  <c r="R16" i="52"/>
  <c r="Q16" i="52"/>
  <c r="P16" i="52"/>
  <c r="O16" i="52"/>
  <c r="N16" i="52"/>
  <c r="M16" i="52"/>
  <c r="L16" i="52"/>
  <c r="K16" i="52"/>
  <c r="J16" i="52"/>
  <c r="I16" i="52"/>
  <c r="H16" i="52"/>
  <c r="G16" i="52"/>
  <c r="F16" i="52"/>
  <c r="E16" i="52"/>
  <c r="D16" i="52"/>
  <c r="C16" i="52"/>
  <c r="B16" i="52"/>
  <c r="AK15" i="52"/>
  <c r="AJ15" i="52"/>
  <c r="AI15" i="52"/>
  <c r="AH15" i="52"/>
  <c r="AG15" i="52"/>
  <c r="AF15" i="52"/>
  <c r="AE15" i="52"/>
  <c r="AD15" i="52"/>
  <c r="AC15" i="52"/>
  <c r="AB15" i="52"/>
  <c r="AA15" i="52"/>
  <c r="Z15" i="52"/>
  <c r="Y15" i="52"/>
  <c r="X15" i="52"/>
  <c r="W15" i="52"/>
  <c r="V15" i="52"/>
  <c r="U15" i="52"/>
  <c r="T15" i="52"/>
  <c r="S15" i="52"/>
  <c r="R15" i="52"/>
  <c r="Q15" i="52"/>
  <c r="P15" i="52"/>
  <c r="O15" i="52"/>
  <c r="N15" i="52"/>
  <c r="M15" i="52"/>
  <c r="L15" i="52"/>
  <c r="K15" i="52"/>
  <c r="J15" i="52"/>
  <c r="I15" i="52"/>
  <c r="H15" i="52"/>
  <c r="G15" i="52"/>
  <c r="F15" i="52"/>
  <c r="E15" i="52"/>
  <c r="D15" i="52"/>
  <c r="C15" i="52"/>
  <c r="B15" i="52"/>
  <c r="AK14" i="52"/>
  <c r="AJ14" i="52"/>
  <c r="AI14" i="52"/>
  <c r="AH14" i="52"/>
  <c r="AG14" i="52"/>
  <c r="AF14" i="52"/>
  <c r="AE14" i="52"/>
  <c r="AD14" i="52"/>
  <c r="AC14" i="52"/>
  <c r="AB14" i="52"/>
  <c r="AA14" i="52"/>
  <c r="Z14" i="52"/>
  <c r="Y14" i="52"/>
  <c r="X14" i="52"/>
  <c r="W14" i="52"/>
  <c r="V14" i="52"/>
  <c r="U14" i="52"/>
  <c r="T14" i="52"/>
  <c r="S14" i="52"/>
  <c r="R14" i="52"/>
  <c r="Q14" i="52"/>
  <c r="P14" i="52"/>
  <c r="O14" i="52"/>
  <c r="N14" i="52"/>
  <c r="M14" i="52"/>
  <c r="L14" i="52"/>
  <c r="K14" i="52"/>
  <c r="J14" i="52"/>
  <c r="I14" i="52"/>
  <c r="H14" i="52"/>
  <c r="G14" i="52"/>
  <c r="F14" i="52"/>
  <c r="E14" i="52"/>
  <c r="D14" i="52"/>
  <c r="C14" i="52"/>
  <c r="B14" i="52"/>
  <c r="AK13" i="52"/>
  <c r="AJ13" i="52"/>
  <c r="AI13" i="52"/>
  <c r="AH13" i="52"/>
  <c r="AG13" i="52"/>
  <c r="AF13" i="52"/>
  <c r="AE13" i="52"/>
  <c r="AD13" i="52"/>
  <c r="AC13" i="52"/>
  <c r="AB13" i="52"/>
  <c r="AA13" i="52"/>
  <c r="Z13" i="52"/>
  <c r="Y13" i="52"/>
  <c r="X13" i="52"/>
  <c r="W13" i="52"/>
  <c r="V13" i="52"/>
  <c r="U13" i="52"/>
  <c r="T13" i="52"/>
  <c r="S13" i="52"/>
  <c r="R13" i="52"/>
  <c r="Q13" i="52"/>
  <c r="P13" i="52"/>
  <c r="O13" i="52"/>
  <c r="N13" i="52"/>
  <c r="M13" i="52"/>
  <c r="L13" i="52"/>
  <c r="K13" i="52"/>
  <c r="J13" i="52"/>
  <c r="I13" i="52"/>
  <c r="H13" i="52"/>
  <c r="G13" i="52"/>
  <c r="F13" i="52"/>
  <c r="E13" i="52"/>
  <c r="D13" i="52"/>
  <c r="C13" i="52"/>
  <c r="B13" i="52"/>
  <c r="AK12" i="52"/>
  <c r="AJ12" i="52"/>
  <c r="AI12" i="52"/>
  <c r="AH12" i="52"/>
  <c r="AG12" i="52"/>
  <c r="AF12" i="52"/>
  <c r="AE12" i="52"/>
  <c r="AD12" i="52"/>
  <c r="AC12" i="52"/>
  <c r="AB12" i="52"/>
  <c r="AA12" i="52"/>
  <c r="Z12" i="52"/>
  <c r="Y12" i="52"/>
  <c r="X12" i="52"/>
  <c r="W12" i="52"/>
  <c r="V12" i="52"/>
  <c r="U12" i="52"/>
  <c r="T12" i="52"/>
  <c r="S12" i="52"/>
  <c r="R12" i="52"/>
  <c r="Q12" i="52"/>
  <c r="P12" i="52"/>
  <c r="O12" i="52"/>
  <c r="N12" i="52"/>
  <c r="M12" i="52"/>
  <c r="L12" i="52"/>
  <c r="K12" i="52"/>
  <c r="J12" i="52"/>
  <c r="I12" i="52"/>
  <c r="H12" i="52"/>
  <c r="G12" i="52"/>
  <c r="F12" i="52"/>
  <c r="E12" i="52"/>
  <c r="D12" i="52"/>
  <c r="C12" i="52"/>
  <c r="B12" i="52"/>
  <c r="AK11" i="52"/>
  <c r="AJ11" i="52"/>
  <c r="AI11" i="52"/>
  <c r="AH11" i="52"/>
  <c r="AG11" i="52"/>
  <c r="AF11" i="52"/>
  <c r="AE11" i="52"/>
  <c r="AD11" i="52"/>
  <c r="AC11" i="52"/>
  <c r="AB11" i="52"/>
  <c r="AA11" i="52"/>
  <c r="Z11" i="52"/>
  <c r="Y11" i="52"/>
  <c r="X11" i="52"/>
  <c r="W11" i="52"/>
  <c r="V11" i="52"/>
  <c r="U11" i="52"/>
  <c r="T11" i="52"/>
  <c r="S11" i="52"/>
  <c r="R11" i="52"/>
  <c r="Q11" i="52"/>
  <c r="P11" i="52"/>
  <c r="O11" i="52"/>
  <c r="N11" i="52"/>
  <c r="M11" i="52"/>
  <c r="L11" i="52"/>
  <c r="K11" i="52"/>
  <c r="J11" i="52"/>
  <c r="I11" i="52"/>
  <c r="H11" i="52"/>
  <c r="G11" i="52"/>
  <c r="F11" i="52"/>
  <c r="E11" i="52"/>
  <c r="D11" i="52"/>
  <c r="C11" i="52"/>
  <c r="B11" i="52"/>
  <c r="AK10" i="52"/>
  <c r="AJ10" i="52"/>
  <c r="AI10" i="52"/>
  <c r="AH10" i="52"/>
  <c r="AG10" i="52"/>
  <c r="AF10" i="52"/>
  <c r="AE10" i="52"/>
  <c r="AD10" i="52"/>
  <c r="AC10" i="52"/>
  <c r="AB10" i="52"/>
  <c r="AA10" i="52"/>
  <c r="Z10" i="52"/>
  <c r="Y10" i="52"/>
  <c r="X10" i="52"/>
  <c r="W10" i="52"/>
  <c r="V10" i="52"/>
  <c r="U10" i="52"/>
  <c r="T10" i="52"/>
  <c r="S10" i="52"/>
  <c r="R10" i="52"/>
  <c r="Q10" i="52"/>
  <c r="P10" i="52"/>
  <c r="O10" i="52"/>
  <c r="N10" i="52"/>
  <c r="M10" i="52"/>
  <c r="L10" i="52"/>
  <c r="K10" i="52"/>
  <c r="J10" i="52"/>
  <c r="I10" i="52"/>
  <c r="H10" i="52"/>
  <c r="G10" i="52"/>
  <c r="F10" i="52"/>
  <c r="E10" i="52"/>
  <c r="D10" i="52"/>
  <c r="C10" i="52"/>
  <c r="B10" i="52"/>
  <c r="AK9" i="52"/>
  <c r="AJ9" i="52"/>
  <c r="AI9" i="52"/>
  <c r="AH9" i="52"/>
  <c r="AG9" i="52"/>
  <c r="AF9" i="52"/>
  <c r="AE9" i="52"/>
  <c r="AD9" i="52"/>
  <c r="AC9" i="52"/>
  <c r="AB9" i="52"/>
  <c r="AA9" i="52"/>
  <c r="Z9" i="52"/>
  <c r="Y9" i="52"/>
  <c r="X9" i="52"/>
  <c r="W9" i="52"/>
  <c r="V9" i="52"/>
  <c r="U9" i="52"/>
  <c r="T9" i="52"/>
  <c r="S9" i="52"/>
  <c r="R9" i="52"/>
  <c r="Q9" i="52"/>
  <c r="P9" i="52"/>
  <c r="O9" i="52"/>
  <c r="N9" i="52"/>
  <c r="M9" i="52"/>
  <c r="L9" i="52"/>
  <c r="K9" i="52"/>
  <c r="J9" i="52"/>
  <c r="I9" i="52"/>
  <c r="H9" i="52"/>
  <c r="G9" i="52"/>
  <c r="F9" i="52"/>
  <c r="E9" i="52"/>
  <c r="D9" i="52"/>
  <c r="C9" i="52"/>
  <c r="B9" i="52"/>
  <c r="AK8" i="52"/>
  <c r="AJ8" i="52"/>
  <c r="AJ19" i="52" s="1"/>
  <c r="AI8" i="52"/>
  <c r="AI19" i="52" s="1"/>
  <c r="AH8" i="52"/>
  <c r="AG8" i="52"/>
  <c r="AF8" i="52"/>
  <c r="AF19" i="52" s="1"/>
  <c r="AE8" i="52"/>
  <c r="AE19" i="52" s="1"/>
  <c r="AD8" i="52"/>
  <c r="AC8" i="52"/>
  <c r="AB8" i="52"/>
  <c r="AB19" i="52" s="1"/>
  <c r="AA8" i="52"/>
  <c r="AA19" i="52" s="1"/>
  <c r="Z8" i="52"/>
  <c r="Y8" i="52"/>
  <c r="X8" i="52"/>
  <c r="X19" i="52" s="1"/>
  <c r="W8" i="52"/>
  <c r="W19" i="52" s="1"/>
  <c r="V8" i="52"/>
  <c r="U8" i="52"/>
  <c r="T8" i="52"/>
  <c r="T19" i="52" s="1"/>
  <c r="S8" i="52"/>
  <c r="S19" i="52" s="1"/>
  <c r="R8" i="52"/>
  <c r="Q8" i="52"/>
  <c r="P8" i="52"/>
  <c r="P19" i="52" s="1"/>
  <c r="O8" i="52"/>
  <c r="O19" i="52" s="1"/>
  <c r="N8" i="52"/>
  <c r="M8" i="52"/>
  <c r="L8" i="52"/>
  <c r="L19" i="52" s="1"/>
  <c r="K8" i="52"/>
  <c r="K19" i="52" s="1"/>
  <c r="J8" i="52"/>
  <c r="I8" i="52"/>
  <c r="H8" i="52"/>
  <c r="H19" i="52" s="1"/>
  <c r="G8" i="52"/>
  <c r="G19" i="52" s="1"/>
  <c r="F8" i="52"/>
  <c r="E8" i="52"/>
  <c r="D8" i="52"/>
  <c r="D19" i="52" s="1"/>
  <c r="C8" i="52"/>
  <c r="C19" i="52" s="1"/>
  <c r="B8" i="52"/>
  <c r="AK18" i="53"/>
  <c r="AJ18" i="53"/>
  <c r="AI18" i="53"/>
  <c r="AH18" i="53"/>
  <c r="AG18" i="53"/>
  <c r="AF18" i="53"/>
  <c r="AE18" i="53"/>
  <c r="AD18" i="53"/>
  <c r="AC18" i="53"/>
  <c r="AB18" i="53"/>
  <c r="AA18" i="53"/>
  <c r="Z18" i="53"/>
  <c r="Y18" i="53"/>
  <c r="X18" i="53"/>
  <c r="W18" i="53"/>
  <c r="V18" i="53"/>
  <c r="U18" i="53"/>
  <c r="T18" i="53"/>
  <c r="S18" i="53"/>
  <c r="R18" i="53"/>
  <c r="Q18" i="53"/>
  <c r="P18" i="53"/>
  <c r="O18" i="53"/>
  <c r="N18" i="53"/>
  <c r="M18" i="53"/>
  <c r="L18" i="53"/>
  <c r="K18" i="53"/>
  <c r="J18" i="53"/>
  <c r="I18" i="53"/>
  <c r="H18" i="53"/>
  <c r="G18" i="53"/>
  <c r="F18" i="53"/>
  <c r="E18" i="53"/>
  <c r="D18" i="53"/>
  <c r="C18" i="53"/>
  <c r="B18" i="53"/>
  <c r="AL17" i="53"/>
  <c r="AK16" i="53"/>
  <c r="AJ16" i="53"/>
  <c r="AI16" i="53"/>
  <c r="AH16" i="53"/>
  <c r="AG16" i="53"/>
  <c r="AF16" i="53"/>
  <c r="AE16" i="53"/>
  <c r="AD16" i="53"/>
  <c r="AC16" i="53"/>
  <c r="AB16" i="53"/>
  <c r="AA16" i="53"/>
  <c r="Z16" i="53"/>
  <c r="Y16" i="53"/>
  <c r="X16" i="53"/>
  <c r="W16" i="53"/>
  <c r="V16" i="53"/>
  <c r="U16" i="53"/>
  <c r="T16" i="53"/>
  <c r="S16" i="53"/>
  <c r="R16" i="53"/>
  <c r="Q16" i="53"/>
  <c r="P16" i="53"/>
  <c r="O16" i="53"/>
  <c r="N16" i="53"/>
  <c r="M16" i="53"/>
  <c r="L16" i="53"/>
  <c r="K16" i="53"/>
  <c r="J16" i="53"/>
  <c r="I16" i="53"/>
  <c r="H16" i="53"/>
  <c r="G16" i="53"/>
  <c r="F16" i="53"/>
  <c r="E16" i="53"/>
  <c r="D16" i="53"/>
  <c r="C16" i="53"/>
  <c r="B16" i="53"/>
  <c r="AK15" i="53"/>
  <c r="AJ15" i="53"/>
  <c r="AI15" i="53"/>
  <c r="AH15" i="53"/>
  <c r="AG15" i="53"/>
  <c r="AF15" i="53"/>
  <c r="AE15" i="53"/>
  <c r="AD15" i="53"/>
  <c r="AC15" i="53"/>
  <c r="AB15" i="53"/>
  <c r="AA15" i="53"/>
  <c r="Z15" i="53"/>
  <c r="Y15" i="53"/>
  <c r="X15" i="53"/>
  <c r="W15" i="53"/>
  <c r="V15" i="53"/>
  <c r="U15" i="53"/>
  <c r="T15" i="53"/>
  <c r="S15" i="53"/>
  <c r="R15" i="53"/>
  <c r="Q15" i="53"/>
  <c r="P15" i="53"/>
  <c r="O15" i="53"/>
  <c r="N15" i="53"/>
  <c r="M15" i="53"/>
  <c r="L15" i="53"/>
  <c r="K15" i="53"/>
  <c r="J15" i="53"/>
  <c r="I15" i="53"/>
  <c r="H15" i="53"/>
  <c r="G15" i="53"/>
  <c r="F15" i="53"/>
  <c r="E15" i="53"/>
  <c r="D15" i="53"/>
  <c r="C15" i="53"/>
  <c r="B15" i="53"/>
  <c r="AK14" i="53"/>
  <c r="AJ14" i="53"/>
  <c r="AI14" i="53"/>
  <c r="AH14" i="53"/>
  <c r="AG14" i="53"/>
  <c r="AF14" i="53"/>
  <c r="AE14" i="53"/>
  <c r="AD14" i="53"/>
  <c r="AC14" i="53"/>
  <c r="AB14" i="53"/>
  <c r="AA14" i="53"/>
  <c r="Z14" i="53"/>
  <c r="Y14" i="53"/>
  <c r="X14" i="53"/>
  <c r="W14" i="53"/>
  <c r="V14" i="53"/>
  <c r="U14" i="53"/>
  <c r="T14" i="53"/>
  <c r="S14" i="53"/>
  <c r="R14" i="53"/>
  <c r="Q14" i="53"/>
  <c r="P14" i="53"/>
  <c r="O14" i="53"/>
  <c r="N14" i="53"/>
  <c r="M14" i="53"/>
  <c r="L14" i="53"/>
  <c r="K14" i="53"/>
  <c r="J14" i="53"/>
  <c r="I14" i="53"/>
  <c r="H14" i="53"/>
  <c r="G14" i="53"/>
  <c r="F14" i="53"/>
  <c r="E14" i="53"/>
  <c r="D14" i="53"/>
  <c r="C14" i="53"/>
  <c r="B14" i="53"/>
  <c r="AK13" i="53"/>
  <c r="AJ13" i="53"/>
  <c r="AI13" i="53"/>
  <c r="AH13" i="53"/>
  <c r="AG13" i="53"/>
  <c r="AF13" i="53"/>
  <c r="AE13" i="53"/>
  <c r="AD13" i="53"/>
  <c r="AC13" i="53"/>
  <c r="AB13" i="53"/>
  <c r="AA13" i="53"/>
  <c r="Z13" i="53"/>
  <c r="Y13" i="53"/>
  <c r="X13" i="53"/>
  <c r="W13" i="53"/>
  <c r="V13" i="53"/>
  <c r="U13" i="53"/>
  <c r="T13" i="53"/>
  <c r="S13" i="53"/>
  <c r="R13" i="53"/>
  <c r="Q13" i="53"/>
  <c r="P13" i="53"/>
  <c r="O13" i="53"/>
  <c r="N13" i="53"/>
  <c r="M13" i="53"/>
  <c r="L13" i="53"/>
  <c r="K13" i="53"/>
  <c r="J13" i="53"/>
  <c r="I13" i="53"/>
  <c r="H13" i="53"/>
  <c r="G13" i="53"/>
  <c r="F13" i="53"/>
  <c r="E13" i="53"/>
  <c r="D13" i="53"/>
  <c r="C13" i="53"/>
  <c r="B13" i="53"/>
  <c r="AK12" i="53"/>
  <c r="AJ12" i="53"/>
  <c r="AI12" i="53"/>
  <c r="AH12" i="53"/>
  <c r="AG12" i="53"/>
  <c r="AF12" i="53"/>
  <c r="AE12" i="53"/>
  <c r="AD12" i="53"/>
  <c r="AC12" i="53"/>
  <c r="AB12" i="53"/>
  <c r="AA12" i="53"/>
  <c r="Z12" i="53"/>
  <c r="Y12" i="53"/>
  <c r="X12" i="53"/>
  <c r="W12" i="53"/>
  <c r="V12" i="53"/>
  <c r="U12" i="53"/>
  <c r="T12" i="53"/>
  <c r="S12" i="53"/>
  <c r="R12" i="53"/>
  <c r="Q12" i="53"/>
  <c r="P12" i="53"/>
  <c r="O12" i="53"/>
  <c r="N12" i="53"/>
  <c r="M12" i="53"/>
  <c r="L12" i="53"/>
  <c r="K12" i="53"/>
  <c r="J12" i="53"/>
  <c r="I12" i="53"/>
  <c r="H12" i="53"/>
  <c r="G12" i="53"/>
  <c r="F12" i="53"/>
  <c r="E12" i="53"/>
  <c r="D12" i="53"/>
  <c r="C12" i="53"/>
  <c r="B12" i="53"/>
  <c r="AK11" i="53"/>
  <c r="AJ11" i="53"/>
  <c r="AI11" i="53"/>
  <c r="AH11" i="53"/>
  <c r="AG11" i="53"/>
  <c r="AF11" i="53"/>
  <c r="AE11" i="53"/>
  <c r="AD11" i="53"/>
  <c r="AC11" i="53"/>
  <c r="AB11" i="53"/>
  <c r="AA11" i="53"/>
  <c r="Z11" i="53"/>
  <c r="Y11" i="53"/>
  <c r="X11" i="53"/>
  <c r="W11" i="53"/>
  <c r="V11" i="53"/>
  <c r="U11" i="53"/>
  <c r="T11" i="53"/>
  <c r="S11" i="53"/>
  <c r="R11" i="53"/>
  <c r="Q11" i="53"/>
  <c r="P11" i="53"/>
  <c r="O11" i="53"/>
  <c r="N11" i="53"/>
  <c r="M11" i="53"/>
  <c r="L11" i="53"/>
  <c r="K11" i="53"/>
  <c r="J11" i="53"/>
  <c r="I11" i="53"/>
  <c r="H11" i="53"/>
  <c r="G11" i="53"/>
  <c r="F11" i="53"/>
  <c r="E11" i="53"/>
  <c r="D11" i="53"/>
  <c r="C11" i="53"/>
  <c r="B11" i="53"/>
  <c r="AK10" i="53"/>
  <c r="AJ10" i="53"/>
  <c r="AI10" i="53"/>
  <c r="AH10" i="53"/>
  <c r="AG10" i="53"/>
  <c r="AF10" i="53"/>
  <c r="AE10" i="53"/>
  <c r="AD10" i="53"/>
  <c r="AC10" i="53"/>
  <c r="AB10" i="53"/>
  <c r="AA10" i="53"/>
  <c r="Z10" i="53"/>
  <c r="Y10" i="53"/>
  <c r="X10" i="53"/>
  <c r="W10" i="53"/>
  <c r="V10" i="53"/>
  <c r="U10" i="53"/>
  <c r="T10" i="53"/>
  <c r="S10" i="53"/>
  <c r="R10" i="53"/>
  <c r="Q10" i="53"/>
  <c r="P10" i="53"/>
  <c r="O10" i="53"/>
  <c r="N10" i="53"/>
  <c r="M10" i="53"/>
  <c r="L10" i="53"/>
  <c r="K10" i="53"/>
  <c r="J10" i="53"/>
  <c r="I10" i="53"/>
  <c r="H10" i="53"/>
  <c r="G10" i="53"/>
  <c r="F10" i="53"/>
  <c r="E10" i="53"/>
  <c r="D10" i="53"/>
  <c r="C10" i="53"/>
  <c r="B10" i="53"/>
  <c r="AK9" i="53"/>
  <c r="AJ9" i="53"/>
  <c r="AI9" i="53"/>
  <c r="AH9" i="53"/>
  <c r="AG9" i="53"/>
  <c r="AF9" i="53"/>
  <c r="AE9" i="53"/>
  <c r="AD9" i="53"/>
  <c r="AC9" i="53"/>
  <c r="AB9" i="53"/>
  <c r="AA9" i="53"/>
  <c r="Z9" i="53"/>
  <c r="Y9" i="53"/>
  <c r="X9" i="53"/>
  <c r="W9" i="53"/>
  <c r="V9" i="53"/>
  <c r="U9" i="53"/>
  <c r="T9" i="53"/>
  <c r="S9" i="53"/>
  <c r="R9" i="53"/>
  <c r="Q9" i="53"/>
  <c r="P9" i="53"/>
  <c r="O9" i="53"/>
  <c r="N9" i="53"/>
  <c r="M9" i="53"/>
  <c r="L9" i="53"/>
  <c r="K9" i="53"/>
  <c r="J9" i="53"/>
  <c r="I9" i="53"/>
  <c r="H9" i="53"/>
  <c r="G9" i="53"/>
  <c r="F9" i="53"/>
  <c r="E9" i="53"/>
  <c r="D9" i="53"/>
  <c r="C9" i="53"/>
  <c r="B9" i="53"/>
  <c r="AK8" i="53"/>
  <c r="AK19" i="53" s="1"/>
  <c r="AJ8" i="53"/>
  <c r="AJ19" i="53" s="1"/>
  <c r="AI8" i="53"/>
  <c r="AH8" i="53"/>
  <c r="AH19" i="53" s="1"/>
  <c r="AG8" i="53"/>
  <c r="AG19" i="53" s="1"/>
  <c r="AF8" i="53"/>
  <c r="AF19" i="53" s="1"/>
  <c r="AG20" i="53" s="1"/>
  <c r="AE8" i="53"/>
  <c r="AD8" i="53"/>
  <c r="AD19" i="53" s="1"/>
  <c r="AC8" i="53"/>
  <c r="AC19" i="53" s="1"/>
  <c r="AB8" i="53"/>
  <c r="AB19" i="53" s="1"/>
  <c r="AA8" i="53"/>
  <c r="Z8" i="53"/>
  <c r="Z19" i="53" s="1"/>
  <c r="Y8" i="53"/>
  <c r="Y19" i="53" s="1"/>
  <c r="X8" i="53"/>
  <c r="X19" i="53" s="1"/>
  <c r="W8" i="53"/>
  <c r="V8" i="53"/>
  <c r="V19" i="53" s="1"/>
  <c r="U8" i="53"/>
  <c r="U19" i="53" s="1"/>
  <c r="T8" i="53"/>
  <c r="T19" i="53" s="1"/>
  <c r="U20" i="53" s="1"/>
  <c r="S8" i="53"/>
  <c r="R8" i="53"/>
  <c r="R19" i="53" s="1"/>
  <c r="Q8" i="53"/>
  <c r="Q19" i="53" s="1"/>
  <c r="P8" i="53"/>
  <c r="P19" i="53" s="1"/>
  <c r="O8" i="53"/>
  <c r="N8" i="53"/>
  <c r="N19" i="53" s="1"/>
  <c r="M8" i="53"/>
  <c r="M19" i="53" s="1"/>
  <c r="L8" i="53"/>
  <c r="L19" i="53" s="1"/>
  <c r="K8" i="53"/>
  <c r="J8" i="53"/>
  <c r="J19" i="53" s="1"/>
  <c r="I8" i="53"/>
  <c r="I19" i="53" s="1"/>
  <c r="H8" i="53"/>
  <c r="H19" i="53" s="1"/>
  <c r="I20" i="53" s="1"/>
  <c r="G8" i="53"/>
  <c r="F8" i="53"/>
  <c r="F19" i="53" s="1"/>
  <c r="E8" i="53"/>
  <c r="E19" i="53" s="1"/>
  <c r="D8" i="53"/>
  <c r="D19" i="53" s="1"/>
  <c r="C8" i="53"/>
  <c r="B8" i="53"/>
  <c r="B19" i="53" s="1"/>
  <c r="AK17" i="54"/>
  <c r="AJ17" i="54"/>
  <c r="AI17" i="54"/>
  <c r="AH17" i="54"/>
  <c r="AG17" i="54"/>
  <c r="AF17" i="54"/>
  <c r="AE17" i="54"/>
  <c r="AD17" i="54"/>
  <c r="AC17" i="54"/>
  <c r="AB17" i="54"/>
  <c r="AA17" i="54"/>
  <c r="Z17" i="54"/>
  <c r="Y17" i="54"/>
  <c r="X17" i="54"/>
  <c r="W17" i="54"/>
  <c r="V17" i="54"/>
  <c r="U17" i="54"/>
  <c r="T17" i="54"/>
  <c r="S17" i="54"/>
  <c r="R17" i="54"/>
  <c r="Q17" i="54"/>
  <c r="P17" i="54"/>
  <c r="O17" i="54"/>
  <c r="N17" i="54"/>
  <c r="M17" i="54"/>
  <c r="L17" i="54"/>
  <c r="K17" i="54"/>
  <c r="J17" i="54"/>
  <c r="I17" i="54"/>
  <c r="H17" i="54"/>
  <c r="G17" i="54"/>
  <c r="F17" i="54"/>
  <c r="E17" i="54"/>
  <c r="D17" i="54"/>
  <c r="C17" i="54"/>
  <c r="B17" i="54"/>
  <c r="AL16" i="54"/>
  <c r="AK15" i="54"/>
  <c r="AJ15" i="54"/>
  <c r="AI15" i="54"/>
  <c r="AH15" i="54"/>
  <c r="AG15" i="54"/>
  <c r="AF15" i="54"/>
  <c r="AE15" i="54"/>
  <c r="AD15" i="54"/>
  <c r="AC15" i="54"/>
  <c r="AB15" i="54"/>
  <c r="AA15" i="54"/>
  <c r="Z15" i="54"/>
  <c r="Y15" i="54"/>
  <c r="X15" i="54"/>
  <c r="W15" i="54"/>
  <c r="V15" i="54"/>
  <c r="U15" i="54"/>
  <c r="T15" i="54"/>
  <c r="S15" i="54"/>
  <c r="R15" i="54"/>
  <c r="Q15" i="54"/>
  <c r="P15" i="54"/>
  <c r="O15" i="54"/>
  <c r="N15" i="54"/>
  <c r="M15" i="54"/>
  <c r="L15" i="54"/>
  <c r="K15" i="54"/>
  <c r="J15" i="54"/>
  <c r="I15" i="54"/>
  <c r="H15" i="54"/>
  <c r="G15" i="54"/>
  <c r="F15" i="54"/>
  <c r="E15" i="54"/>
  <c r="D15" i="54"/>
  <c r="C15" i="54"/>
  <c r="B15" i="54"/>
  <c r="AK14" i="54"/>
  <c r="AJ14" i="54"/>
  <c r="AI14" i="54"/>
  <c r="AH14" i="54"/>
  <c r="AG14" i="54"/>
  <c r="AF14" i="54"/>
  <c r="AE14" i="54"/>
  <c r="AD14" i="54"/>
  <c r="AC14" i="54"/>
  <c r="AB14" i="54"/>
  <c r="AA14" i="54"/>
  <c r="Z14" i="54"/>
  <c r="Y14" i="54"/>
  <c r="X14" i="54"/>
  <c r="W14" i="54"/>
  <c r="V14" i="54"/>
  <c r="U14" i="54"/>
  <c r="T14" i="54"/>
  <c r="S14" i="54"/>
  <c r="R14" i="54"/>
  <c r="Q14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D14" i="54"/>
  <c r="C14" i="54"/>
  <c r="B14" i="54"/>
  <c r="AK13" i="54"/>
  <c r="AJ13" i="54"/>
  <c r="AI13" i="54"/>
  <c r="AH13" i="54"/>
  <c r="AG13" i="54"/>
  <c r="AF13" i="54"/>
  <c r="AE13" i="54"/>
  <c r="AD13" i="54"/>
  <c r="AC13" i="54"/>
  <c r="AB13" i="54"/>
  <c r="AA13" i="54"/>
  <c r="Z13" i="54"/>
  <c r="Y13" i="54"/>
  <c r="X13" i="54"/>
  <c r="W13" i="54"/>
  <c r="V13" i="54"/>
  <c r="U13" i="54"/>
  <c r="T13" i="54"/>
  <c r="S13" i="54"/>
  <c r="R13" i="54"/>
  <c r="Q13" i="54"/>
  <c r="P13" i="54"/>
  <c r="O13" i="54"/>
  <c r="N13" i="54"/>
  <c r="M13" i="54"/>
  <c r="L13" i="54"/>
  <c r="K13" i="54"/>
  <c r="J13" i="54"/>
  <c r="I13" i="54"/>
  <c r="H13" i="54"/>
  <c r="G13" i="54"/>
  <c r="F13" i="54"/>
  <c r="E13" i="54"/>
  <c r="D13" i="54"/>
  <c r="C13" i="54"/>
  <c r="B13" i="54"/>
  <c r="AK12" i="54"/>
  <c r="AJ12" i="54"/>
  <c r="AI12" i="54"/>
  <c r="AH12" i="54"/>
  <c r="AG12" i="54"/>
  <c r="AF12" i="54"/>
  <c r="AE12" i="54"/>
  <c r="AD12" i="54"/>
  <c r="AC12" i="54"/>
  <c r="AB12" i="54"/>
  <c r="AA12" i="54"/>
  <c r="Z12" i="54"/>
  <c r="Y12" i="54"/>
  <c r="X12" i="54"/>
  <c r="W12" i="54"/>
  <c r="V12" i="54"/>
  <c r="U12" i="54"/>
  <c r="T12" i="54"/>
  <c r="S12" i="54"/>
  <c r="R12" i="54"/>
  <c r="Q12" i="54"/>
  <c r="P12" i="54"/>
  <c r="O12" i="54"/>
  <c r="N12" i="54"/>
  <c r="M12" i="54"/>
  <c r="L12" i="54"/>
  <c r="K12" i="54"/>
  <c r="J12" i="54"/>
  <c r="I12" i="54"/>
  <c r="H12" i="54"/>
  <c r="G12" i="54"/>
  <c r="F12" i="54"/>
  <c r="E12" i="54"/>
  <c r="D12" i="54"/>
  <c r="C12" i="54"/>
  <c r="B12" i="54"/>
  <c r="AK11" i="54"/>
  <c r="AJ11" i="54"/>
  <c r="AI11" i="54"/>
  <c r="AH11" i="54"/>
  <c r="AG11" i="54"/>
  <c r="AF11" i="54"/>
  <c r="AE11" i="54"/>
  <c r="AD11" i="54"/>
  <c r="AC11" i="54"/>
  <c r="AB11" i="54"/>
  <c r="AA11" i="54"/>
  <c r="Z11" i="54"/>
  <c r="Y11" i="54"/>
  <c r="X11" i="54"/>
  <c r="W11" i="54"/>
  <c r="V11" i="54"/>
  <c r="U11" i="54"/>
  <c r="T11" i="54"/>
  <c r="S11" i="54"/>
  <c r="R11" i="54"/>
  <c r="Q11" i="54"/>
  <c r="P11" i="54"/>
  <c r="O11" i="54"/>
  <c r="N11" i="54"/>
  <c r="M11" i="54"/>
  <c r="L11" i="54"/>
  <c r="K11" i="54"/>
  <c r="J11" i="54"/>
  <c r="I11" i="54"/>
  <c r="H11" i="54"/>
  <c r="G11" i="54"/>
  <c r="F11" i="54"/>
  <c r="E11" i="54"/>
  <c r="D11" i="54"/>
  <c r="C11" i="54"/>
  <c r="B11" i="54"/>
  <c r="AK10" i="54"/>
  <c r="AJ10" i="54"/>
  <c r="AI10" i="54"/>
  <c r="AH10" i="54"/>
  <c r="AG10" i="54"/>
  <c r="AF10" i="54"/>
  <c r="AE10" i="54"/>
  <c r="AD10" i="54"/>
  <c r="AC10" i="54"/>
  <c r="AB10" i="54"/>
  <c r="AA10" i="54"/>
  <c r="Z10" i="54"/>
  <c r="Y10" i="54"/>
  <c r="X10" i="54"/>
  <c r="W10" i="54"/>
  <c r="V10" i="54"/>
  <c r="U10" i="54"/>
  <c r="T10" i="54"/>
  <c r="S10" i="54"/>
  <c r="R10" i="54"/>
  <c r="Q10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D10" i="54"/>
  <c r="C10" i="54"/>
  <c r="B10" i="54"/>
  <c r="AK9" i="54"/>
  <c r="AJ9" i="54"/>
  <c r="AI9" i="54"/>
  <c r="AH9" i="54"/>
  <c r="AG9" i="54"/>
  <c r="AF9" i="54"/>
  <c r="AE9" i="54"/>
  <c r="AD9" i="54"/>
  <c r="AC9" i="54"/>
  <c r="AB9" i="54"/>
  <c r="AA9" i="54"/>
  <c r="Z9" i="54"/>
  <c r="Y9" i="54"/>
  <c r="X9" i="54"/>
  <c r="W9" i="54"/>
  <c r="V9" i="54"/>
  <c r="U9" i="54"/>
  <c r="T9" i="54"/>
  <c r="S9" i="54"/>
  <c r="R9" i="54"/>
  <c r="Q9" i="54"/>
  <c r="P9" i="54"/>
  <c r="O9" i="54"/>
  <c r="N9" i="54"/>
  <c r="M9" i="54"/>
  <c r="L9" i="54"/>
  <c r="K9" i="54"/>
  <c r="J9" i="54"/>
  <c r="I9" i="54"/>
  <c r="H9" i="54"/>
  <c r="G9" i="54"/>
  <c r="F9" i="54"/>
  <c r="E9" i="54"/>
  <c r="D9" i="54"/>
  <c r="C9" i="54"/>
  <c r="B9" i="54"/>
  <c r="AK8" i="54"/>
  <c r="AJ8" i="54"/>
  <c r="AI8" i="54"/>
  <c r="AH8" i="54"/>
  <c r="AG8" i="54"/>
  <c r="AF8" i="54"/>
  <c r="AE8" i="54"/>
  <c r="AD8" i="54"/>
  <c r="AC8" i="54"/>
  <c r="AB8" i="54"/>
  <c r="AA8" i="54"/>
  <c r="Z8" i="54"/>
  <c r="Y8" i="54"/>
  <c r="X8" i="54"/>
  <c r="W8" i="54"/>
  <c r="V8" i="54"/>
  <c r="U8" i="54"/>
  <c r="T8" i="54"/>
  <c r="S8" i="54"/>
  <c r="R8" i="54"/>
  <c r="Q8" i="54"/>
  <c r="P8" i="54"/>
  <c r="O8" i="54"/>
  <c r="N8" i="54"/>
  <c r="M8" i="54"/>
  <c r="L8" i="54"/>
  <c r="K8" i="54"/>
  <c r="J8" i="54"/>
  <c r="I8" i="54"/>
  <c r="H8" i="54"/>
  <c r="G8" i="54"/>
  <c r="F8" i="54"/>
  <c r="E8" i="54"/>
  <c r="D8" i="54"/>
  <c r="C8" i="54"/>
  <c r="B8" i="54"/>
  <c r="AK7" i="54"/>
  <c r="AK18" i="54" s="1"/>
  <c r="AJ7" i="54"/>
  <c r="AI7" i="54"/>
  <c r="AH7" i="54"/>
  <c r="AH18" i="54" s="1"/>
  <c r="AG7" i="54"/>
  <c r="AG18" i="54" s="1"/>
  <c r="AF7" i="54"/>
  <c r="AE7" i="54"/>
  <c r="AD7" i="54"/>
  <c r="AD18" i="54" s="1"/>
  <c r="AC7" i="54"/>
  <c r="AC18" i="54" s="1"/>
  <c r="AB7" i="54"/>
  <c r="AA7" i="54"/>
  <c r="Z7" i="54"/>
  <c r="Z18" i="54" s="1"/>
  <c r="Y7" i="54"/>
  <c r="Y18" i="54" s="1"/>
  <c r="X7" i="54"/>
  <c r="W7" i="54"/>
  <c r="V7" i="54"/>
  <c r="V18" i="54" s="1"/>
  <c r="U7" i="54"/>
  <c r="U18" i="54" s="1"/>
  <c r="T7" i="54"/>
  <c r="S7" i="54"/>
  <c r="R7" i="54"/>
  <c r="R18" i="54" s="1"/>
  <c r="Q7" i="54"/>
  <c r="Q18" i="54" s="1"/>
  <c r="P7" i="54"/>
  <c r="O7" i="54"/>
  <c r="N7" i="54"/>
  <c r="N18" i="54" s="1"/>
  <c r="M7" i="54"/>
  <c r="M18" i="54" s="1"/>
  <c r="L7" i="54"/>
  <c r="K7" i="54"/>
  <c r="J7" i="54"/>
  <c r="J18" i="54" s="1"/>
  <c r="I7" i="54"/>
  <c r="I18" i="54" s="1"/>
  <c r="H7" i="54"/>
  <c r="G7" i="54"/>
  <c r="F7" i="54"/>
  <c r="F18" i="54" s="1"/>
  <c r="E7" i="54"/>
  <c r="E18" i="54" s="1"/>
  <c r="D7" i="54"/>
  <c r="C7" i="54"/>
  <c r="B7" i="54"/>
  <c r="B18" i="54" s="1"/>
  <c r="AK18" i="55"/>
  <c r="AJ18" i="55"/>
  <c r="AI18" i="55"/>
  <c r="AH18" i="55"/>
  <c r="AG18" i="55"/>
  <c r="AF18" i="55"/>
  <c r="AE18" i="55"/>
  <c r="AD18" i="55"/>
  <c r="AC18" i="55"/>
  <c r="AD19" i="55" s="1"/>
  <c r="AB18" i="55"/>
  <c r="AA18" i="55"/>
  <c r="Z18" i="55"/>
  <c r="AA19" i="55" s="1"/>
  <c r="Y18" i="55"/>
  <c r="X18" i="55"/>
  <c r="W18" i="55"/>
  <c r="V18" i="55"/>
  <c r="U18" i="55"/>
  <c r="T18" i="55"/>
  <c r="S18" i="55"/>
  <c r="R18" i="55"/>
  <c r="Q18" i="55"/>
  <c r="R19" i="55" s="1"/>
  <c r="P18" i="55"/>
  <c r="O18" i="55"/>
  <c r="N18" i="55"/>
  <c r="O19" i="55" s="1"/>
  <c r="M18" i="55"/>
  <c r="L18" i="55"/>
  <c r="K18" i="55"/>
  <c r="J18" i="55"/>
  <c r="I18" i="55"/>
  <c r="H18" i="55"/>
  <c r="G18" i="55"/>
  <c r="F18" i="55"/>
  <c r="E18" i="55"/>
  <c r="F19" i="55" s="1"/>
  <c r="D18" i="55"/>
  <c r="C18" i="55"/>
  <c r="B18" i="55"/>
  <c r="C19" i="55" s="1"/>
  <c r="AL17" i="55"/>
  <c r="AL16" i="55"/>
  <c r="AL15" i="55"/>
  <c r="AL14" i="55"/>
  <c r="AL13" i="55"/>
  <c r="AL12" i="55"/>
  <c r="AL11" i="55"/>
  <c r="AL10" i="55"/>
  <c r="AL9" i="55"/>
  <c r="AL8" i="55"/>
  <c r="AL7" i="55"/>
  <c r="L19" i="55" l="1"/>
  <c r="X19" i="55"/>
  <c r="AJ19" i="55"/>
  <c r="I19" i="55"/>
  <c r="AL19" i="55" s="1"/>
  <c r="U19" i="55"/>
  <c r="AG19" i="55"/>
  <c r="B19" i="52"/>
  <c r="F19" i="52"/>
  <c r="F20" i="52" s="1"/>
  <c r="J19" i="52"/>
  <c r="N19" i="52"/>
  <c r="O20" i="52" s="1"/>
  <c r="R19" i="52"/>
  <c r="V19" i="52"/>
  <c r="Z19" i="52"/>
  <c r="AD19" i="52"/>
  <c r="AH19" i="52"/>
  <c r="AL9" i="52"/>
  <c r="AL10" i="52"/>
  <c r="AL11" i="52"/>
  <c r="AL12" i="52"/>
  <c r="AL13" i="52"/>
  <c r="AL14" i="52"/>
  <c r="AL15" i="52"/>
  <c r="AL16" i="52"/>
  <c r="D18" i="54"/>
  <c r="H18" i="54"/>
  <c r="I19" i="54" s="1"/>
  <c r="L18" i="54"/>
  <c r="P18" i="54"/>
  <c r="T18" i="54"/>
  <c r="U19" i="54" s="1"/>
  <c r="X18" i="54"/>
  <c r="AB18" i="54"/>
  <c r="AF18" i="54"/>
  <c r="AG19" i="54" s="1"/>
  <c r="AJ18" i="54"/>
  <c r="AL9" i="53"/>
  <c r="AL10" i="53"/>
  <c r="AL11" i="53"/>
  <c r="AL12" i="53"/>
  <c r="AL13" i="53"/>
  <c r="AL14" i="53"/>
  <c r="AL15" i="53"/>
  <c r="AL16" i="53"/>
  <c r="C19" i="53"/>
  <c r="G19" i="53"/>
  <c r="K19" i="53"/>
  <c r="L20" i="53" s="1"/>
  <c r="O19" i="53"/>
  <c r="O20" i="53" s="1"/>
  <c r="S19" i="53"/>
  <c r="W19" i="53"/>
  <c r="AA19" i="53"/>
  <c r="AA20" i="53" s="1"/>
  <c r="AE19" i="53"/>
  <c r="AD20" i="53" s="1"/>
  <c r="AI19" i="53"/>
  <c r="AL18" i="53"/>
  <c r="AL18" i="52"/>
  <c r="U20" i="52"/>
  <c r="E19" i="52"/>
  <c r="I19" i="52"/>
  <c r="I20" i="52" s="1"/>
  <c r="M19" i="52"/>
  <c r="Q19" i="52"/>
  <c r="R20" i="52" s="1"/>
  <c r="U19" i="52"/>
  <c r="Y19" i="52"/>
  <c r="AC19" i="52"/>
  <c r="AG19" i="52"/>
  <c r="AG20" i="52" s="1"/>
  <c r="AK19" i="52"/>
  <c r="F23" i="58"/>
  <c r="F21" i="58"/>
  <c r="R6" i="58"/>
  <c r="F4" i="58"/>
  <c r="F22" i="58"/>
  <c r="P6" i="58"/>
  <c r="R6" i="57"/>
  <c r="F4" i="57"/>
  <c r="P6" i="57"/>
  <c r="F21" i="57"/>
  <c r="F23" i="57"/>
  <c r="F22" i="57"/>
  <c r="N5" i="56"/>
  <c r="F21" i="56"/>
  <c r="F23" i="56"/>
  <c r="P6" i="56"/>
  <c r="P10" i="56" s="1"/>
  <c r="AD20" i="52"/>
  <c r="C20" i="52"/>
  <c r="AA20" i="52"/>
  <c r="L20" i="52"/>
  <c r="X20" i="52"/>
  <c r="AJ20" i="52"/>
  <c r="AL8" i="52"/>
  <c r="F20" i="53"/>
  <c r="R20" i="53"/>
  <c r="C20" i="53"/>
  <c r="X20" i="53"/>
  <c r="AJ20" i="53"/>
  <c r="AL8" i="53"/>
  <c r="AL8" i="54"/>
  <c r="AL9" i="54"/>
  <c r="AL10" i="54"/>
  <c r="AL11" i="54"/>
  <c r="AL12" i="54"/>
  <c r="AL13" i="54"/>
  <c r="AL14" i="54"/>
  <c r="AL15" i="54"/>
  <c r="C18" i="54"/>
  <c r="G18" i="54"/>
  <c r="F19" i="54" s="1"/>
  <c r="K18" i="54"/>
  <c r="L19" i="54" s="1"/>
  <c r="O18" i="54"/>
  <c r="S18" i="54"/>
  <c r="R19" i="54" s="1"/>
  <c r="W18" i="54"/>
  <c r="AA18" i="54"/>
  <c r="AE18" i="54"/>
  <c r="AD19" i="54" s="1"/>
  <c r="AI18" i="54"/>
  <c r="AL17" i="54"/>
  <c r="AA19" i="54"/>
  <c r="AL7" i="54"/>
  <c r="AJ19" i="54" l="1"/>
  <c r="C19" i="54"/>
  <c r="O19" i="54"/>
  <c r="X19" i="54"/>
  <c r="AL19" i="54" s="1"/>
  <c r="AL20" i="52"/>
  <c r="Q6" i="58"/>
  <c r="Q6" i="57"/>
  <c r="F4" i="56"/>
  <c r="R6" i="56"/>
  <c r="Q6" i="56" s="1"/>
  <c r="AL20" i="53"/>
  <c r="F39" i="45" l="1"/>
  <c r="F37" i="45"/>
  <c r="F36" i="45"/>
  <c r="F38" i="45" s="1"/>
  <c r="F24" i="45"/>
  <c r="F23" i="45"/>
  <c r="F27" i="35" l="1"/>
  <c r="F27" i="58" s="1"/>
  <c r="F27" i="57" s="1"/>
  <c r="F27" i="56" s="1"/>
  <c r="M54" i="36"/>
  <c r="N54" i="36" s="1"/>
  <c r="K54" i="36"/>
  <c r="F42" i="45" l="1"/>
  <c r="H42" i="45" s="1"/>
  <c r="G42" i="45"/>
  <c r="J42" i="45"/>
  <c r="I42" i="45"/>
  <c r="V34" i="36" l="1"/>
  <c r="V29" i="36"/>
  <c r="F59" i="45"/>
  <c r="H24" i="45" l="1"/>
  <c r="H23" i="45"/>
  <c r="H17" i="45"/>
  <c r="L5" i="35" l="1"/>
  <c r="J34" i="45" l="1"/>
  <c r="I34" i="45"/>
  <c r="J17" i="45" l="1"/>
  <c r="I17" i="45"/>
  <c r="G17" i="45"/>
  <c r="F4" i="45"/>
  <c r="G23" i="45" s="1"/>
  <c r="J7" i="45"/>
  <c r="I7" i="45"/>
  <c r="H7" i="45"/>
  <c r="G7" i="45"/>
  <c r="I24" i="45" l="1"/>
  <c r="G39" i="45"/>
  <c r="I37" i="45"/>
  <c r="H36" i="45"/>
  <c r="I36" i="45"/>
  <c r="I39" i="45"/>
  <c r="J36" i="45"/>
  <c r="J39" i="45"/>
  <c r="G36" i="45"/>
  <c r="J37" i="45"/>
  <c r="H39" i="45"/>
  <c r="H37" i="45"/>
  <c r="G37" i="45"/>
  <c r="J38" i="45"/>
  <c r="G38" i="45"/>
  <c r="H38" i="45"/>
  <c r="I38" i="45"/>
  <c r="I23" i="45"/>
  <c r="J24" i="45"/>
  <c r="J23" i="45"/>
  <c r="G24" i="45"/>
  <c r="F17" i="45"/>
  <c r="F27" i="45" l="1"/>
  <c r="F28" i="45"/>
  <c r="F29" i="45"/>
  <c r="R18" i="42" l="1"/>
  <c r="R14" i="42"/>
  <c r="R10" i="42"/>
  <c r="R6" i="42"/>
  <c r="I35" i="45" l="1"/>
  <c r="I6" i="45"/>
  <c r="H6" i="45"/>
  <c r="J35" i="45"/>
  <c r="J6" i="45"/>
  <c r="F23" i="35"/>
  <c r="G35" i="45" s="1"/>
  <c r="G6" i="45"/>
  <c r="F22" i="35"/>
  <c r="G34" i="45" s="1"/>
  <c r="H34" i="45"/>
  <c r="H35" i="45"/>
  <c r="F35" i="45" l="1"/>
  <c r="F6" i="45"/>
  <c r="V53" i="36"/>
  <c r="S53" i="36"/>
  <c r="V47" i="36"/>
  <c r="S47" i="36"/>
  <c r="R53" i="36"/>
  <c r="R47" i="36"/>
  <c r="N53" i="36"/>
  <c r="K53" i="36"/>
  <c r="AO13" i="27"/>
  <c r="AO12" i="27"/>
  <c r="AO11" i="27"/>
  <c r="AO10" i="27"/>
  <c r="F21" i="35"/>
  <c r="G33" i="45" s="1"/>
  <c r="P19" i="35"/>
  <c r="P19" i="58" s="1"/>
  <c r="P14" i="35"/>
  <c r="P14" i="58" s="1"/>
  <c r="P14" i="57" s="1"/>
  <c r="P14" i="56" s="1"/>
  <c r="P13" i="35"/>
  <c r="P13" i="58" s="1"/>
  <c r="P13" i="57" s="1"/>
  <c r="P13" i="56" s="1"/>
  <c r="P12" i="35"/>
  <c r="P12" i="58" s="1"/>
  <c r="S52" i="36"/>
  <c r="V52" i="36" s="1"/>
  <c r="G21" i="30"/>
  <c r="N52" i="36"/>
  <c r="N51" i="36"/>
  <c r="K52" i="36"/>
  <c r="K51" i="36"/>
  <c r="G10" i="30"/>
  <c r="Q10" i="30" s="1"/>
  <c r="G5" i="30"/>
  <c r="V51" i="36"/>
  <c r="S51" i="36"/>
  <c r="G17" i="30"/>
  <c r="P12" i="57" l="1"/>
  <c r="P19" i="57"/>
  <c r="J33" i="45"/>
  <c r="I33" i="45"/>
  <c r="H33" i="45"/>
  <c r="F5" i="45"/>
  <c r="V46" i="36"/>
  <c r="S46" i="36"/>
  <c r="V45" i="36"/>
  <c r="S45" i="36"/>
  <c r="R52" i="36"/>
  <c r="R51" i="36"/>
  <c r="R46" i="36"/>
  <c r="R45" i="36"/>
  <c r="N47" i="36"/>
  <c r="K47" i="36"/>
  <c r="N48" i="36"/>
  <c r="K48" i="36"/>
  <c r="J48" i="36"/>
  <c r="J47" i="36"/>
  <c r="K44" i="36"/>
  <c r="N44" i="36" s="1"/>
  <c r="N43" i="36"/>
  <c r="K43" i="36"/>
  <c r="N11" i="36"/>
  <c r="K36" i="36"/>
  <c r="K35" i="36"/>
  <c r="P12" i="56" l="1"/>
  <c r="P19" i="56"/>
  <c r="F33" i="45"/>
  <c r="J8" i="45"/>
  <c r="J10" i="45" s="1"/>
  <c r="I8" i="45"/>
  <c r="I10" i="45" s="1"/>
  <c r="H8" i="45"/>
  <c r="H10" i="45" s="1"/>
  <c r="J36" i="36"/>
  <c r="J35" i="36"/>
  <c r="G12" i="36"/>
  <c r="G16" i="36"/>
  <c r="F8" i="36"/>
  <c r="G10" i="44"/>
  <c r="G9" i="44" l="1"/>
  <c r="G8" i="44"/>
  <c r="H8" i="44" s="1"/>
  <c r="G7" i="44"/>
  <c r="H7" i="44" s="1"/>
  <c r="G6" i="44"/>
  <c r="H6" i="44" s="1"/>
  <c r="G5" i="44"/>
  <c r="H5" i="44" s="1"/>
  <c r="G4" i="44"/>
  <c r="H4" i="44" s="1"/>
  <c r="H9" i="44"/>
  <c r="H10" i="44"/>
  <c r="H3" i="44"/>
  <c r="L29" i="36"/>
  <c r="N29" i="36"/>
  <c r="N28" i="36"/>
  <c r="K29" i="36"/>
  <c r="K7" i="36"/>
  <c r="V28" i="36"/>
  <c r="V27" i="36"/>
  <c r="V26" i="36"/>
  <c r="V30" i="36"/>
  <c r="V6" i="36"/>
  <c r="V7" i="36"/>
  <c r="V8" i="36"/>
  <c r="V9" i="36"/>
  <c r="V10" i="36"/>
  <c r="V5" i="36"/>
  <c r="V25" i="36"/>
  <c r="F11" i="35" s="1"/>
  <c r="F11" i="58" s="1"/>
  <c r="F11" i="57" s="1"/>
  <c r="F11" i="56" s="1"/>
  <c r="V31" i="36"/>
  <c r="V32" i="36"/>
  <c r="V33" i="36"/>
  <c r="G18" i="30"/>
  <c r="Q28" i="30"/>
  <c r="Q27" i="30"/>
  <c r="Q26" i="30"/>
  <c r="G22" i="30"/>
  <c r="G16" i="30"/>
  <c r="G15" i="30"/>
  <c r="G20" i="30"/>
  <c r="G19" i="30"/>
  <c r="G13" i="30"/>
  <c r="G9" i="30"/>
  <c r="Q9" i="30" s="1"/>
  <c r="R17" i="42"/>
  <c r="R13" i="42"/>
  <c r="R12" i="42"/>
  <c r="R9" i="42"/>
  <c r="R8" i="42"/>
  <c r="H7" i="19"/>
  <c r="H8" i="19"/>
  <c r="H9" i="19"/>
  <c r="H10" i="19"/>
  <c r="R5" i="42"/>
  <c r="R4" i="42"/>
  <c r="M20" i="42"/>
  <c r="M13" i="42"/>
  <c r="M7" i="42"/>
  <c r="E24" i="42"/>
  <c r="R16" i="42" s="1"/>
  <c r="G14" i="42"/>
  <c r="G15" i="42"/>
  <c r="H15" i="42" s="1"/>
  <c r="F15" i="42"/>
  <c r="F14" i="42"/>
  <c r="H14" i="42" s="1"/>
  <c r="H11" i="42"/>
  <c r="H12" i="42"/>
  <c r="G13" i="42"/>
  <c r="H13" i="42" s="1"/>
  <c r="F13" i="42"/>
  <c r="G10" i="42"/>
  <c r="H10" i="42" s="1"/>
  <c r="F10" i="42"/>
  <c r="H8" i="42"/>
  <c r="H9" i="42"/>
  <c r="H6" i="42"/>
  <c r="H7" i="42"/>
  <c r="H5" i="42"/>
  <c r="G7" i="42"/>
  <c r="G16" i="42" s="1"/>
  <c r="F7" i="42"/>
  <c r="F16" i="42" s="1"/>
  <c r="V20" i="36" l="1"/>
  <c r="G16" i="45"/>
  <c r="H16" i="42"/>
  <c r="G7" i="30"/>
  <c r="Q7" i="30" s="1"/>
  <c r="H16" i="45" l="1"/>
  <c r="G11" i="27"/>
  <c r="W11" i="27"/>
  <c r="D10" i="27"/>
  <c r="E10" i="27"/>
  <c r="F10" i="27"/>
  <c r="G10" i="27"/>
  <c r="H10" i="27"/>
  <c r="I10" i="27"/>
  <c r="J10" i="27"/>
  <c r="K10" i="27"/>
  <c r="L10" i="27"/>
  <c r="M10" i="27"/>
  <c r="N10" i="27"/>
  <c r="O10" i="27"/>
  <c r="W10" i="27"/>
  <c r="X10" i="27"/>
  <c r="Y10" i="27"/>
  <c r="Z10" i="27"/>
  <c r="AA10" i="27"/>
  <c r="AB10" i="27"/>
  <c r="AC10" i="27"/>
  <c r="AD10" i="27"/>
  <c r="AE10" i="27"/>
  <c r="AF10" i="27"/>
  <c r="AG10" i="27"/>
  <c r="AH10" i="27"/>
  <c r="AI10" i="27"/>
  <c r="AJ10" i="27"/>
  <c r="AK10" i="27"/>
  <c r="AL10" i="27"/>
  <c r="C10" i="27"/>
  <c r="B11" i="27"/>
  <c r="B12" i="27"/>
  <c r="B13" i="27"/>
  <c r="B10" i="27"/>
  <c r="F13" i="19"/>
  <c r="F16" i="19"/>
  <c r="AL13" i="27"/>
  <c r="AK13" i="27"/>
  <c r="AJ13" i="27"/>
  <c r="AI13" i="27"/>
  <c r="AH13" i="27"/>
  <c r="AF13" i="27"/>
  <c r="AE13" i="27"/>
  <c r="AD13" i="27"/>
  <c r="AC13" i="27"/>
  <c r="AB13" i="27"/>
  <c r="AA13" i="27"/>
  <c r="Z13" i="27"/>
  <c r="Y13" i="27"/>
  <c r="X13" i="27"/>
  <c r="W13" i="27"/>
  <c r="V13" i="27"/>
  <c r="T13" i="27"/>
  <c r="S13" i="27"/>
  <c r="Q13" i="27"/>
  <c r="P13" i="27"/>
  <c r="N13" i="27"/>
  <c r="M13" i="27"/>
  <c r="L13" i="27"/>
  <c r="K13" i="27"/>
  <c r="J13" i="27"/>
  <c r="H13" i="27"/>
  <c r="G13" i="27"/>
  <c r="E13" i="27"/>
  <c r="D13" i="27"/>
  <c r="AL12" i="27"/>
  <c r="AJ12" i="27"/>
  <c r="AI12" i="27"/>
  <c r="AH12" i="27"/>
  <c r="AF12" i="27"/>
  <c r="AE12" i="27"/>
  <c r="AC12" i="27"/>
  <c r="AB12" i="27"/>
  <c r="AA12" i="27"/>
  <c r="Z12" i="27"/>
  <c r="X12" i="27"/>
  <c r="W12" i="27"/>
  <c r="V12" i="27"/>
  <c r="T12" i="27"/>
  <c r="S12" i="27"/>
  <c r="Q12" i="27"/>
  <c r="P12" i="27"/>
  <c r="O12" i="27"/>
  <c r="N12" i="27"/>
  <c r="L12" i="27"/>
  <c r="K12" i="27"/>
  <c r="J12" i="27"/>
  <c r="H12" i="27"/>
  <c r="G12" i="27"/>
  <c r="E12" i="27"/>
  <c r="D12" i="27"/>
  <c r="C12" i="27"/>
  <c r="AK11" i="27"/>
  <c r="AJ11" i="27"/>
  <c r="AI11" i="27"/>
  <c r="AH11" i="27"/>
  <c r="AF11" i="27"/>
  <c r="AE11" i="27"/>
  <c r="AC11" i="27"/>
  <c r="AB11" i="27"/>
  <c r="AA11" i="27"/>
  <c r="Z11" i="27"/>
  <c r="Y11" i="27"/>
  <c r="X11" i="27"/>
  <c r="V11" i="27"/>
  <c r="T11" i="27"/>
  <c r="S11" i="27"/>
  <c r="Q11" i="27"/>
  <c r="P11" i="27"/>
  <c r="O11" i="27"/>
  <c r="M11" i="27"/>
  <c r="L11" i="27"/>
  <c r="K11" i="27"/>
  <c r="J11" i="27"/>
  <c r="H11" i="27"/>
  <c r="E11" i="27"/>
  <c r="D11" i="27"/>
  <c r="I16" i="45" l="1"/>
  <c r="F13" i="27"/>
  <c r="R13" i="27"/>
  <c r="I13" i="27"/>
  <c r="AG13" i="27"/>
  <c r="U13" i="27"/>
  <c r="C13" i="27"/>
  <c r="O13" i="27"/>
  <c r="O14" i="27" s="1"/>
  <c r="O15" i="27" s="1"/>
  <c r="K14" i="27"/>
  <c r="K15" i="27" s="1"/>
  <c r="AD12" i="27"/>
  <c r="F12" i="27"/>
  <c r="R12" i="27"/>
  <c r="W14" i="27"/>
  <c r="W15" i="27" s="1"/>
  <c r="W16" i="27" s="1"/>
  <c r="W17" i="27" s="1"/>
  <c r="W18" i="27" s="1"/>
  <c r="W19" i="27" s="1"/>
  <c r="J14" i="27"/>
  <c r="J15" i="27" s="1"/>
  <c r="J16" i="27" s="1"/>
  <c r="J17" i="27" s="1"/>
  <c r="AH14" i="27"/>
  <c r="AH15" i="27" s="1"/>
  <c r="AH16" i="27" s="1"/>
  <c r="AH17" i="27" s="1"/>
  <c r="AH18" i="27" s="1"/>
  <c r="AH19" i="27" s="1"/>
  <c r="AK12" i="27"/>
  <c r="AK14" i="27" s="1"/>
  <c r="AK16" i="27" s="1"/>
  <c r="AK17" i="27" s="1"/>
  <c r="AK18" i="27" s="1"/>
  <c r="AK19" i="27" s="1"/>
  <c r="AG12" i="27"/>
  <c r="Y12" i="27"/>
  <c r="Y14" i="27" s="1"/>
  <c r="Y15" i="27" s="1"/>
  <c r="Y16" i="27" s="1"/>
  <c r="Y17" i="27" s="1"/>
  <c r="Y18" i="27" s="1"/>
  <c r="Y19" i="27" s="1"/>
  <c r="U12" i="27"/>
  <c r="M12" i="27"/>
  <c r="M14" i="27" s="1"/>
  <c r="I12" i="27"/>
  <c r="AA14" i="27"/>
  <c r="AA15" i="27" s="1"/>
  <c r="AA16" i="27" s="1"/>
  <c r="AA17" i="27" s="1"/>
  <c r="AA18" i="27" s="1"/>
  <c r="AA19" i="27" s="1"/>
  <c r="AI14" i="27"/>
  <c r="AI15" i="27" s="1"/>
  <c r="AI16" i="27" s="1"/>
  <c r="AI17" i="27" s="1"/>
  <c r="AI18" i="27" s="1"/>
  <c r="AI19" i="27" s="1"/>
  <c r="G14" i="27"/>
  <c r="G15" i="27" s="1"/>
  <c r="G16" i="27" s="1"/>
  <c r="G17" i="27" s="1"/>
  <c r="G18" i="27" s="1"/>
  <c r="G19" i="27" s="1"/>
  <c r="E14" i="27"/>
  <c r="E15" i="27" s="1"/>
  <c r="D14" i="27"/>
  <c r="D16" i="27" s="1"/>
  <c r="D17" i="27" s="1"/>
  <c r="D18" i="27" s="1"/>
  <c r="D19" i="27" s="1"/>
  <c r="H14" i="27"/>
  <c r="L14" i="27"/>
  <c r="L15" i="27" s="1"/>
  <c r="L16" i="27" s="1"/>
  <c r="L17" i="27" s="1"/>
  <c r="L18" i="27" s="1"/>
  <c r="L19" i="27" s="1"/>
  <c r="X14" i="27"/>
  <c r="X15" i="27" s="1"/>
  <c r="X16" i="27" s="1"/>
  <c r="X17" i="27" s="1"/>
  <c r="X18" i="27" s="1"/>
  <c r="X19" i="27" s="1"/>
  <c r="AB14" i="27"/>
  <c r="AB15" i="27" s="1"/>
  <c r="AB16" i="27" s="1"/>
  <c r="AB17" i="27" s="1"/>
  <c r="AB18" i="27" s="1"/>
  <c r="AB19" i="27" s="1"/>
  <c r="AJ14" i="27"/>
  <c r="AJ16" i="27" s="1"/>
  <c r="AJ17" i="27" s="1"/>
  <c r="AJ18" i="27" s="1"/>
  <c r="AJ19" i="27" s="1"/>
  <c r="I11" i="27"/>
  <c r="U11" i="27"/>
  <c r="AG11" i="27"/>
  <c r="AC14" i="27"/>
  <c r="AC15" i="27" s="1"/>
  <c r="N11" i="27"/>
  <c r="N14" i="27" s="1"/>
  <c r="F11" i="27"/>
  <c r="R11" i="27"/>
  <c r="AE14" i="27"/>
  <c r="AE16" i="27" s="1"/>
  <c r="AE17" i="27" s="1"/>
  <c r="AE18" i="27" s="1"/>
  <c r="AE19" i="27" s="1"/>
  <c r="AL11" i="27"/>
  <c r="AL14" i="27" s="1"/>
  <c r="AL16" i="27" s="1"/>
  <c r="AL17" i="27" s="1"/>
  <c r="AD11" i="27"/>
  <c r="AF14" i="27"/>
  <c r="AF16" i="27" s="1"/>
  <c r="AF17" i="27" s="1"/>
  <c r="AF18" i="27" s="1"/>
  <c r="AF19" i="27" s="1"/>
  <c r="C11" i="27"/>
  <c r="Z14" i="27"/>
  <c r="V10" i="27"/>
  <c r="V14" i="27" s="1"/>
  <c r="V15" i="27" s="1"/>
  <c r="V16" i="27" s="1"/>
  <c r="T10" i="27"/>
  <c r="T14" i="27" s="1"/>
  <c r="T15" i="27" s="1"/>
  <c r="T16" i="27" s="1"/>
  <c r="T17" i="27" s="1"/>
  <c r="T18" i="27" s="1"/>
  <c r="T19" i="27" s="1"/>
  <c r="S10" i="27"/>
  <c r="S14" i="27" s="1"/>
  <c r="S15" i="27" s="1"/>
  <c r="S16" i="27" s="1"/>
  <c r="S17" i="27" s="1"/>
  <c r="S18" i="27" s="1"/>
  <c r="S19" i="27" s="1"/>
  <c r="R10" i="27"/>
  <c r="Q10" i="27"/>
  <c r="Q14" i="27" s="1"/>
  <c r="Q15" i="27" s="1"/>
  <c r="Q16" i="27" s="1"/>
  <c r="Q17" i="27" s="1"/>
  <c r="Q18" i="27" s="1"/>
  <c r="Q19" i="27" s="1"/>
  <c r="P10" i="27"/>
  <c r="F14" i="27" l="1"/>
  <c r="F15" i="27" s="1"/>
  <c r="F16" i="27" s="1"/>
  <c r="I14" i="27"/>
  <c r="I15" i="27" s="1"/>
  <c r="I16" i="27" s="1"/>
  <c r="I17" i="27" s="1"/>
  <c r="I18" i="27" s="1"/>
  <c r="I19" i="27" s="1"/>
  <c r="AD14" i="27"/>
  <c r="AD16" i="27" s="1"/>
  <c r="AD17" i="27" s="1"/>
  <c r="AD18" i="27" s="1"/>
  <c r="AD19" i="27" s="1"/>
  <c r="J16" i="45"/>
  <c r="AM13" i="27"/>
  <c r="U10" i="27"/>
  <c r="AM10" i="27" s="1"/>
  <c r="P14" i="27"/>
  <c r="P15" i="27" s="1"/>
  <c r="P16" i="27" s="1"/>
  <c r="P17" i="27" s="1"/>
  <c r="P18" i="27" s="1"/>
  <c r="P19" i="27" s="1"/>
  <c r="AG14" i="27"/>
  <c r="AG15" i="27" s="1"/>
  <c r="AG16" i="27" s="1"/>
  <c r="AG17" i="27" s="1"/>
  <c r="AG18" i="27" s="1"/>
  <c r="AG19" i="27" s="1"/>
  <c r="C14" i="27"/>
  <c r="C16" i="27" s="1"/>
  <c r="C17" i="27" s="1"/>
  <c r="E16" i="27"/>
  <c r="E17" i="27" s="1"/>
  <c r="E18" i="27" s="1"/>
  <c r="E19" i="27" s="1"/>
  <c r="M15" i="27"/>
  <c r="M16" i="27" s="1"/>
  <c r="M17" i="27" s="1"/>
  <c r="M18" i="27" s="1"/>
  <c r="M19" i="27" s="1"/>
  <c r="U14" i="27"/>
  <c r="U15" i="27" s="1"/>
  <c r="U16" i="27" s="1"/>
  <c r="U17" i="27" s="1"/>
  <c r="U18" i="27" s="1"/>
  <c r="U19" i="27" s="1"/>
  <c r="K16" i="27"/>
  <c r="K17" i="27" s="1"/>
  <c r="K18" i="27" s="1"/>
  <c r="K19" i="27" s="1"/>
  <c r="H15" i="27"/>
  <c r="H16" i="27" s="1"/>
  <c r="H17" i="27" s="1"/>
  <c r="H18" i="27" s="1"/>
  <c r="H19" i="27" s="1"/>
  <c r="AM12" i="27"/>
  <c r="R14" i="27"/>
  <c r="R15" i="27" s="1"/>
  <c r="R16" i="27" s="1"/>
  <c r="R17" i="27" s="1"/>
  <c r="R18" i="27" s="1"/>
  <c r="R19" i="27" s="1"/>
  <c r="O16" i="27"/>
  <c r="O17" i="27" s="1"/>
  <c r="O18" i="27" s="1"/>
  <c r="O19" i="27" s="1"/>
  <c r="AL18" i="27"/>
  <c r="AL19" i="27" s="1"/>
  <c r="V17" i="27"/>
  <c r="V18" i="27" s="1"/>
  <c r="V19" i="27" s="1"/>
  <c r="N15" i="27"/>
  <c r="N16" i="27" s="1"/>
  <c r="AM11" i="27"/>
  <c r="Z15" i="27"/>
  <c r="Z16" i="27" s="1"/>
  <c r="Z17" i="27" s="1"/>
  <c r="Z18" i="27" s="1"/>
  <c r="Z19" i="27" s="1"/>
  <c r="AC16" i="27"/>
  <c r="J18" i="27"/>
  <c r="J19" i="27" s="1"/>
  <c r="G8" i="30"/>
  <c r="Q8" i="30" s="1"/>
  <c r="C26" i="30"/>
  <c r="C27" i="30"/>
  <c r="C28" i="30"/>
  <c r="C25" i="30"/>
  <c r="G6" i="30"/>
  <c r="Q6" i="30" s="1"/>
  <c r="G61" i="36"/>
  <c r="C18" i="27" l="1"/>
  <c r="C19" i="27" s="1"/>
  <c r="F16" i="45"/>
  <c r="AM14" i="27"/>
  <c r="N17" i="27"/>
  <c r="N18" i="27" s="1"/>
  <c r="N19" i="27" s="1"/>
  <c r="F17" i="27"/>
  <c r="F18" i="27" s="1"/>
  <c r="F19" i="27" s="1"/>
  <c r="AM15" i="27"/>
  <c r="AR15" i="27" s="1"/>
  <c r="AC17" i="27"/>
  <c r="AM16" i="27"/>
  <c r="G48" i="36"/>
  <c r="G49" i="36"/>
  <c r="G50" i="36"/>
  <c r="G51" i="36"/>
  <c r="G52" i="36"/>
  <c r="G53" i="36"/>
  <c r="G54" i="36"/>
  <c r="G55" i="36"/>
  <c r="G56" i="36"/>
  <c r="G57" i="36"/>
  <c r="G58" i="36"/>
  <c r="G47" i="36"/>
  <c r="D48" i="36"/>
  <c r="D49" i="36"/>
  <c r="D50" i="36"/>
  <c r="D51" i="36"/>
  <c r="D52" i="36"/>
  <c r="D53" i="36"/>
  <c r="D54" i="36"/>
  <c r="D55" i="36"/>
  <c r="D56" i="36"/>
  <c r="D57" i="36"/>
  <c r="D58" i="36"/>
  <c r="D47" i="36"/>
  <c r="G31" i="36"/>
  <c r="G32" i="36"/>
  <c r="G33" i="36"/>
  <c r="G34" i="36"/>
  <c r="G35" i="36"/>
  <c r="G36" i="36"/>
  <c r="G37" i="36"/>
  <c r="G38" i="36"/>
  <c r="F38" i="36" s="1"/>
  <c r="G39" i="36"/>
  <c r="G40" i="36"/>
  <c r="G41" i="36"/>
  <c r="G42" i="36"/>
  <c r="F42" i="36" s="1"/>
  <c r="D38" i="36"/>
  <c r="D39" i="36"/>
  <c r="D40" i="36"/>
  <c r="D41" i="36"/>
  <c r="D42" i="36"/>
  <c r="C43" i="36"/>
  <c r="C44" i="36"/>
  <c r="C45" i="36"/>
  <c r="D31" i="36"/>
  <c r="D32" i="36"/>
  <c r="D33" i="36"/>
  <c r="D34" i="36"/>
  <c r="D35" i="36"/>
  <c r="D36" i="36"/>
  <c r="D37" i="36"/>
  <c r="F34" i="36" l="1"/>
  <c r="F55" i="36"/>
  <c r="F51" i="36"/>
  <c r="F41" i="36"/>
  <c r="F58" i="36"/>
  <c r="F54" i="36"/>
  <c r="F50" i="36"/>
  <c r="F57" i="36"/>
  <c r="F53" i="36"/>
  <c r="F49" i="36"/>
  <c r="F56" i="36"/>
  <c r="F52" i="36"/>
  <c r="F48" i="36"/>
  <c r="AC18" i="27"/>
  <c r="AM17" i="27"/>
  <c r="AR17" i="27" s="1"/>
  <c r="F37" i="36"/>
  <c r="F33" i="36"/>
  <c r="F40" i="36"/>
  <c r="F36" i="36"/>
  <c r="F32" i="36"/>
  <c r="F39" i="36"/>
  <c r="F35" i="36"/>
  <c r="F31" i="36"/>
  <c r="G12" i="30"/>
  <c r="G24" i="30" s="1"/>
  <c r="N8" i="19"/>
  <c r="N9" i="19"/>
  <c r="I31" i="43"/>
  <c r="I32" i="43"/>
  <c r="I33" i="43"/>
  <c r="I34" i="43"/>
  <c r="I30" i="43"/>
  <c r="G34" i="43"/>
  <c r="G33" i="43"/>
  <c r="G32" i="43"/>
  <c r="G31" i="43"/>
  <c r="G30" i="43"/>
  <c r="AM18" i="27" l="1"/>
  <c r="F25" i="45" s="1"/>
  <c r="AC19" i="27"/>
  <c r="I12" i="43"/>
  <c r="I15" i="43"/>
  <c r="I16" i="43"/>
  <c r="G12" i="43"/>
  <c r="G13" i="43"/>
  <c r="I13" i="43" s="1"/>
  <c r="G14" i="43"/>
  <c r="I14" i="43" s="1"/>
  <c r="G15" i="43"/>
  <c r="G16" i="43"/>
  <c r="G17" i="43"/>
  <c r="I17" i="43" s="1"/>
  <c r="F26" i="45" l="1"/>
  <c r="H25" i="45"/>
  <c r="H26" i="45" s="1"/>
  <c r="I25" i="45"/>
  <c r="I26" i="45" s="1"/>
  <c r="J25" i="45"/>
  <c r="J26" i="45" s="1"/>
  <c r="G25" i="45"/>
  <c r="G26" i="45" s="1"/>
  <c r="I45" i="43"/>
  <c r="I46" i="43" s="1"/>
  <c r="G38" i="43"/>
  <c r="I38" i="43" s="1"/>
  <c r="I41" i="43" s="1"/>
  <c r="G29" i="43"/>
  <c r="I29" i="43" s="1"/>
  <c r="G28" i="43"/>
  <c r="I28" i="43" s="1"/>
  <c r="G27" i="43"/>
  <c r="I27" i="43" s="1"/>
  <c r="G26" i="43"/>
  <c r="I26" i="43" s="1"/>
  <c r="G25" i="43"/>
  <c r="I25" i="43" s="1"/>
  <c r="G24" i="43"/>
  <c r="I24" i="43" s="1"/>
  <c r="G23" i="43"/>
  <c r="I23" i="43" s="1"/>
  <c r="G11" i="43"/>
  <c r="I11" i="43" s="1"/>
  <c r="G10" i="43"/>
  <c r="I10" i="43" s="1"/>
  <c r="G9" i="43"/>
  <c r="I9" i="43" s="1"/>
  <c r="G8" i="43"/>
  <c r="I8" i="43" s="1"/>
  <c r="G7" i="43"/>
  <c r="I7" i="43" s="1"/>
  <c r="G6" i="43"/>
  <c r="I6" i="43" s="1"/>
  <c r="G5" i="43"/>
  <c r="G4" i="43"/>
  <c r="G3" i="43"/>
  <c r="H12" i="44" l="1"/>
  <c r="I5" i="43"/>
  <c r="G30" i="36" s="1"/>
  <c r="D30" i="36"/>
  <c r="I4" i="43"/>
  <c r="G29" i="36" s="1"/>
  <c r="D29" i="36"/>
  <c r="I3" i="43"/>
  <c r="D28" i="36"/>
  <c r="I37" i="43"/>
  <c r="F30" i="36" l="1"/>
  <c r="F29" i="36"/>
  <c r="G28" i="36"/>
  <c r="I22" i="43"/>
  <c r="L27" i="36"/>
  <c r="K27" i="36"/>
  <c r="N26" i="36"/>
  <c r="N25" i="36"/>
  <c r="G46" i="36" l="1"/>
  <c r="F28" i="36"/>
  <c r="N27" i="36"/>
  <c r="P30" i="56" s="1"/>
  <c r="N50" i="36"/>
  <c r="N46" i="36"/>
  <c r="N36" i="36"/>
  <c r="N35" i="36"/>
  <c r="V56" i="36"/>
  <c r="V50" i="36"/>
  <c r="V44" i="36"/>
  <c r="N56" i="36" l="1"/>
  <c r="V57" i="36"/>
  <c r="F26" i="35" s="1"/>
  <c r="F26" i="58" s="1"/>
  <c r="F26" i="57" s="1"/>
  <c r="F26" i="56" s="1"/>
  <c r="N42" i="36"/>
  <c r="I8" i="30"/>
  <c r="L8" i="30" s="1"/>
  <c r="I9" i="30"/>
  <c r="L9" i="30" s="1"/>
  <c r="N9" i="30" s="1"/>
  <c r="P9" i="30" s="1"/>
  <c r="I5" i="30"/>
  <c r="I6" i="30"/>
  <c r="N8" i="30" l="1"/>
  <c r="P8" i="30" s="1"/>
  <c r="N57" i="36"/>
  <c r="L5" i="30"/>
  <c r="L6" i="30"/>
  <c r="G43" i="45" l="1"/>
  <c r="H43" i="45"/>
  <c r="I43" i="45"/>
  <c r="J43" i="45"/>
  <c r="G19" i="36"/>
  <c r="G18" i="36"/>
  <c r="L31" i="36"/>
  <c r="K31" i="36"/>
  <c r="L23" i="36"/>
  <c r="K23" i="36"/>
  <c r="L19" i="36"/>
  <c r="K19" i="36"/>
  <c r="N30" i="36"/>
  <c r="N22" i="36"/>
  <c r="N21" i="36"/>
  <c r="N18" i="36"/>
  <c r="N17" i="36"/>
  <c r="L15" i="36"/>
  <c r="K15" i="36"/>
  <c r="L10" i="36"/>
  <c r="K10" i="36"/>
  <c r="N14" i="36"/>
  <c r="N13" i="36"/>
  <c r="N7" i="36"/>
  <c r="N8" i="36"/>
  <c r="N9" i="36"/>
  <c r="N6" i="36"/>
  <c r="G15" i="36"/>
  <c r="G14" i="36"/>
  <c r="G10" i="36"/>
  <c r="G8" i="36"/>
  <c r="G6" i="36"/>
  <c r="G5" i="36"/>
  <c r="P6" i="35"/>
  <c r="G63" i="36"/>
  <c r="G62" i="36"/>
  <c r="G59" i="36"/>
  <c r="G60" i="36" s="1"/>
  <c r="N5" i="35"/>
  <c r="I21" i="30"/>
  <c r="L21" i="30" s="1"/>
  <c r="I17" i="30"/>
  <c r="L17" i="30" s="1"/>
  <c r="I13" i="30"/>
  <c r="L13" i="30" s="1"/>
  <c r="I18" i="30"/>
  <c r="L18" i="30" s="1"/>
  <c r="N18" i="30" s="1"/>
  <c r="I15" i="30"/>
  <c r="I14" i="30"/>
  <c r="L14" i="30" s="1"/>
  <c r="I28" i="30"/>
  <c r="L28" i="30" s="1"/>
  <c r="I27" i="30"/>
  <c r="L27" i="30" s="1"/>
  <c r="N27" i="30" s="1"/>
  <c r="I26" i="30"/>
  <c r="L26" i="30" s="1"/>
  <c r="N26" i="30" s="1"/>
  <c r="I25" i="30"/>
  <c r="Q25" i="30" s="1"/>
  <c r="I22" i="30"/>
  <c r="I20" i="30"/>
  <c r="I19" i="30"/>
  <c r="L19" i="30" s="1"/>
  <c r="I16" i="30"/>
  <c r="L16" i="30" s="1"/>
  <c r="I12" i="30"/>
  <c r="G11" i="30"/>
  <c r="I10" i="30"/>
  <c r="L10" i="30" s="1"/>
  <c r="N10" i="30" s="1"/>
  <c r="I7" i="30"/>
  <c r="L7" i="30" s="1"/>
  <c r="P27" i="30" l="1"/>
  <c r="F17" i="57" s="1"/>
  <c r="F43" i="45"/>
  <c r="F6" i="35"/>
  <c r="N28" i="30"/>
  <c r="P28" i="30" s="1"/>
  <c r="F17" i="56" s="1"/>
  <c r="P26" i="30"/>
  <c r="F17" i="58" s="1"/>
  <c r="P18" i="30"/>
  <c r="N7" i="30"/>
  <c r="P7" i="30" s="1"/>
  <c r="P10" i="30"/>
  <c r="I29" i="30"/>
  <c r="L20" i="30"/>
  <c r="G20" i="36"/>
  <c r="R6" i="35"/>
  <c r="N15" i="36"/>
  <c r="P26" i="35" s="1"/>
  <c r="P26" i="58" s="1"/>
  <c r="N31" i="36"/>
  <c r="P31" i="35" s="1"/>
  <c r="P31" i="58" s="1"/>
  <c r="P31" i="57" s="1"/>
  <c r="P31" i="56" s="1"/>
  <c r="N19" i="36"/>
  <c r="P28" i="56" s="1"/>
  <c r="N23" i="36"/>
  <c r="P29" i="56" s="1"/>
  <c r="N10" i="36"/>
  <c r="P25" i="35" s="1"/>
  <c r="P25" i="58" s="1"/>
  <c r="P25" i="57" s="1"/>
  <c r="P25" i="56" s="1"/>
  <c r="G7" i="36"/>
  <c r="G11" i="36"/>
  <c r="G24" i="36"/>
  <c r="P16" i="56" s="1"/>
  <c r="G64" i="36"/>
  <c r="P21" i="35" s="1"/>
  <c r="P21" i="58" s="1"/>
  <c r="P21" i="57" s="1"/>
  <c r="P21" i="56" s="1"/>
  <c r="F10" i="35"/>
  <c r="F10" i="58" s="1"/>
  <c r="F10" i="57" s="1"/>
  <c r="F10" i="56" s="1"/>
  <c r="G68" i="36"/>
  <c r="N19" i="30"/>
  <c r="P19" i="30" s="1"/>
  <c r="L15" i="30"/>
  <c r="L22" i="30"/>
  <c r="N14" i="30"/>
  <c r="P14" i="30" s="1"/>
  <c r="I24" i="30"/>
  <c r="G30" i="30"/>
  <c r="G32" i="30" s="1"/>
  <c r="G33" i="30" s="1"/>
  <c r="F51" i="45" s="1"/>
  <c r="I11" i="30"/>
  <c r="N6" i="30"/>
  <c r="P6" i="30" s="1"/>
  <c r="N5" i="30"/>
  <c r="P5" i="30" s="1"/>
  <c r="N21" i="30"/>
  <c r="P21" i="30" s="1"/>
  <c r="N17" i="30"/>
  <c r="P17" i="30" s="1"/>
  <c r="L12" i="30"/>
  <c r="L25" i="30"/>
  <c r="H51" i="45" l="1"/>
  <c r="I51" i="45"/>
  <c r="J51" i="45"/>
  <c r="J53" i="45" s="1"/>
  <c r="G51" i="45"/>
  <c r="I53" i="45"/>
  <c r="G53" i="45"/>
  <c r="H53" i="45"/>
  <c r="F53" i="45"/>
  <c r="P17" i="58"/>
  <c r="F6" i="58"/>
  <c r="F6" i="57" s="1"/>
  <c r="G11" i="45"/>
  <c r="P26" i="57"/>
  <c r="G15" i="45"/>
  <c r="F4" i="35"/>
  <c r="N22" i="30"/>
  <c r="P22" i="30" s="1"/>
  <c r="P11" i="30"/>
  <c r="N15" i="30"/>
  <c r="P15" i="30" s="1"/>
  <c r="L11" i="30"/>
  <c r="P27" i="35"/>
  <c r="P27" i="58" s="1"/>
  <c r="P27" i="57" s="1"/>
  <c r="P27" i="56" s="1"/>
  <c r="P17" i="35"/>
  <c r="F7" i="35" s="1"/>
  <c r="Q6" i="35"/>
  <c r="I30" i="30"/>
  <c r="N20" i="30"/>
  <c r="P20" i="30" s="1"/>
  <c r="N16" i="30"/>
  <c r="P16" i="30" s="1"/>
  <c r="L24" i="30"/>
  <c r="N12" i="30"/>
  <c r="P12" i="30" s="1"/>
  <c r="L29" i="30"/>
  <c r="N25" i="30"/>
  <c r="P25" i="30" s="1"/>
  <c r="N13" i="30"/>
  <c r="P13" i="30" s="1"/>
  <c r="F14" i="56" l="1"/>
  <c r="J19" i="45" s="1"/>
  <c r="F14" i="57"/>
  <c r="I19" i="45" s="1"/>
  <c r="F14" i="58"/>
  <c r="H19" i="45" s="1"/>
  <c r="F14" i="35"/>
  <c r="G19" i="45" s="1"/>
  <c r="F19" i="45" s="1"/>
  <c r="P29" i="30"/>
  <c r="F17" i="35"/>
  <c r="F15" i="57"/>
  <c r="F15" i="58"/>
  <c r="F15" i="56"/>
  <c r="F15" i="35"/>
  <c r="F13" i="56"/>
  <c r="J18" i="45" s="1"/>
  <c r="F13" i="57"/>
  <c r="I18" i="45" s="1"/>
  <c r="F13" i="58"/>
  <c r="H18" i="45" s="1"/>
  <c r="F13" i="35"/>
  <c r="G18" i="45" s="1"/>
  <c r="G22" i="45"/>
  <c r="G20" i="45"/>
  <c r="F6" i="56"/>
  <c r="J11" i="45" s="1"/>
  <c r="I11" i="45"/>
  <c r="F7" i="58"/>
  <c r="G12" i="45"/>
  <c r="P15" i="56"/>
  <c r="P17" i="56" s="1"/>
  <c r="P17" i="57"/>
  <c r="P32" i="58"/>
  <c r="P26" i="56"/>
  <c r="P32" i="56" s="1"/>
  <c r="P32" i="57"/>
  <c r="P32" i="35"/>
  <c r="F9" i="35" s="1"/>
  <c r="F9" i="58" s="1"/>
  <c r="G41" i="45"/>
  <c r="H15" i="45"/>
  <c r="P24" i="30"/>
  <c r="F28" i="35"/>
  <c r="L30" i="30"/>
  <c r="F16" i="58" l="1"/>
  <c r="F16" i="56"/>
  <c r="F16" i="57"/>
  <c r="F16" i="35"/>
  <c r="G21" i="45" s="1"/>
  <c r="F18" i="45"/>
  <c r="F11" i="45"/>
  <c r="H20" i="45"/>
  <c r="F28" i="58"/>
  <c r="F29" i="35"/>
  <c r="F29" i="58" s="1"/>
  <c r="F29" i="57" s="1"/>
  <c r="F29" i="56" s="1"/>
  <c r="H22" i="45"/>
  <c r="F7" i="57"/>
  <c r="H12" i="45"/>
  <c r="F9" i="57"/>
  <c r="G14" i="45"/>
  <c r="H41" i="45"/>
  <c r="I15" i="45"/>
  <c r="J15" i="45"/>
  <c r="F8" i="45"/>
  <c r="G10" i="45"/>
  <c r="P30" i="30"/>
  <c r="F30" i="35" l="1"/>
  <c r="F28" i="57"/>
  <c r="F28" i="56" s="1"/>
  <c r="F30" i="56" s="1"/>
  <c r="F30" i="58"/>
  <c r="J22" i="45"/>
  <c r="I22" i="45"/>
  <c r="H21" i="45"/>
  <c r="J20" i="45"/>
  <c r="I20" i="45"/>
  <c r="F20" i="45" s="1"/>
  <c r="F7" i="56"/>
  <c r="J12" i="45" s="1"/>
  <c r="I12" i="45"/>
  <c r="F12" i="45" s="1"/>
  <c r="F30" i="57"/>
  <c r="F9" i="56"/>
  <c r="F7" i="45"/>
  <c r="F60" i="45"/>
  <c r="H14" i="45"/>
  <c r="J41" i="45"/>
  <c r="I41" i="45"/>
  <c r="F15" i="45"/>
  <c r="F10" i="45"/>
  <c r="F22" i="45" l="1"/>
  <c r="J21" i="45"/>
  <c r="I21" i="45"/>
  <c r="F41" i="45"/>
  <c r="I14" i="45"/>
  <c r="J14" i="45"/>
  <c r="F47" i="36"/>
  <c r="P20" i="35"/>
  <c r="F21" i="45" l="1"/>
  <c r="F14" i="45"/>
  <c r="P23" i="35"/>
  <c r="F8" i="35" s="1"/>
  <c r="F19" i="35" s="1"/>
  <c r="F19" i="58" s="1"/>
  <c r="P20" i="58"/>
  <c r="P20" i="57" l="1"/>
  <c r="P23" i="58"/>
  <c r="F8" i="58"/>
  <c r="G13" i="45"/>
  <c r="F19" i="57"/>
  <c r="F34" i="45"/>
  <c r="F20" i="35"/>
  <c r="G30" i="45" l="1"/>
  <c r="F8" i="57"/>
  <c r="H13" i="45"/>
  <c r="H30" i="45" s="1"/>
  <c r="H31" i="45" s="1"/>
  <c r="F20" i="58"/>
  <c r="P20" i="56"/>
  <c r="P23" i="56" s="1"/>
  <c r="P23" i="57"/>
  <c r="F19" i="56"/>
  <c r="F8" i="56" l="1"/>
  <c r="J13" i="45" s="1"/>
  <c r="J30" i="45" s="1"/>
  <c r="J31" i="45" s="1"/>
  <c r="I13" i="45"/>
  <c r="I30" i="45" s="1"/>
  <c r="I31" i="45" s="1"/>
  <c r="G31" i="45"/>
  <c r="F20" i="57"/>
  <c r="F13" i="45"/>
  <c r="F44" i="45" s="1"/>
  <c r="F20" i="56"/>
  <c r="H56" i="45"/>
  <c r="H32" i="45"/>
  <c r="F30" i="45" l="1"/>
  <c r="F31" i="45" s="1"/>
  <c r="F56" i="45" s="1"/>
  <c r="F63" i="45"/>
  <c r="I44" i="45"/>
  <c r="I46" i="45" s="1"/>
  <c r="I57" i="45" s="1"/>
  <c r="F46" i="45"/>
  <c r="H44" i="45"/>
  <c r="H46" i="45" s="1"/>
  <c r="J44" i="45"/>
  <c r="J46" i="45" s="1"/>
  <c r="J57" i="45" s="1"/>
  <c r="G44" i="45"/>
  <c r="G46" i="45" s="1"/>
  <c r="G57" i="45" s="1"/>
  <c r="I32" i="45"/>
  <c r="I56" i="45"/>
  <c r="G56" i="45"/>
  <c r="G32" i="45"/>
  <c r="J56" i="45"/>
  <c r="J32" i="45"/>
  <c r="G47" i="45" l="1"/>
  <c r="G54" i="45" s="1"/>
  <c r="I47" i="45"/>
  <c r="I54" i="45" s="1"/>
  <c r="J47" i="45"/>
  <c r="J54" i="45" s="1"/>
  <c r="F57" i="45"/>
  <c r="F32" i="45"/>
  <c r="F47" i="45" s="1"/>
  <c r="F54" i="45" s="1"/>
  <c r="H47" i="45"/>
  <c r="H54" i="45" s="1"/>
  <c r="H57" i="45"/>
</calcChain>
</file>

<file path=xl/sharedStrings.xml><?xml version="1.0" encoding="utf-8"?>
<sst xmlns="http://schemas.openxmlformats.org/spreadsheetml/2006/main" count="1582" uniqueCount="622">
  <si>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</si>
  <si>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</si>
  <si>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</si>
  <si>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</si>
  <si>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</si>
  <si>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</si>
  <si>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</si>
  <si>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</si>
  <si>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</si>
  <si>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</si>
  <si>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</si>
  <si>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</si>
  <si>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</si>
  <si>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</si>
  <si>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</si>
  <si>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</si>
  <si>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</si>
  <si>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</si>
  <si>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</si>
  <si>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</si>
  <si>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</si>
  <si>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</si>
  <si>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</si>
  <si>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</si>
  <si>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</si>
  <si>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</si>
  <si>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</si>
  <si>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</si>
  <si>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</si>
  <si>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</si>
  <si>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</si>
  <si>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</si>
  <si>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</si>
  <si>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</si>
  <si>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</si>
  <si>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</si>
  <si>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</si>
  <si>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</si>
  <si>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</si>
  <si>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年償却額</t>
  </si>
  <si>
    <t>小　　計</t>
  </si>
  <si>
    <t>　　小　　計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</si>
  <si>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</si>
  <si>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</si>
  <si>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</si>
  <si>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</si>
  <si>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</si>
  <si>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</si>
  <si>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</si>
  <si>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</si>
  <si>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</si>
  <si>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</si>
  <si>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</si>
  <si>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</si>
  <si>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</si>
  <si>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</si>
  <si>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</si>
  <si>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</si>
  <si>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</si>
  <si>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</si>
  <si>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</si>
  <si>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</si>
  <si>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</si>
  <si>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</si>
  <si>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</si>
  <si>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</si>
  <si>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</si>
  <si>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</si>
  <si>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</si>
  <si>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</si>
  <si>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</si>
  <si>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</si>
  <si>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</si>
  <si>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</si>
  <si>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</si>
  <si>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</si>
  <si>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</si>
  <si>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</si>
  <si>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</si>
  <si>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</si>
  <si>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</si>
  <si>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</si>
  <si>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</si>
  <si>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</si>
  <si>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</si>
  <si>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</si>
  <si>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</si>
  <si>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</si>
  <si>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</si>
  <si>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</si>
  <si>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</si>
  <si>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</si>
  <si>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</si>
  <si>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</si>
  <si>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収穫 ：</t>
    <phoneticPr fontId="4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</si>
  <si>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</si>
  <si>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</si>
  <si>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</si>
  <si>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</si>
  <si>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</si>
  <si>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</si>
  <si>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</si>
  <si>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</si>
  <si>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⑦＝⑤×⑥（円/ha）</t>
    <rPh sb="6" eb="7">
      <t>エン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</si>
  <si>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</si>
  <si>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</si>
  <si>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</si>
  <si>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</si>
  <si>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</si>
  <si>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</si>
  <si>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</si>
  <si>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</si>
  <si>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本</t>
    <rPh sb="0" eb="1">
      <t>ホン</t>
    </rPh>
    <phoneticPr fontId="4"/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</si>
  <si>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</si>
  <si>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</si>
  <si>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</si>
  <si>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</si>
  <si>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</si>
  <si>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</si>
  <si>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</si>
  <si>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</si>
  <si>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</si>
  <si>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</si>
  <si>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</si>
  <si>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</si>
  <si>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</si>
  <si>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</si>
  <si>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</si>
  <si>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</si>
  <si>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</si>
  <si>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</si>
  <si>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t</t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</si>
  <si>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</si>
  <si>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</si>
  <si>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</si>
  <si>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</si>
  <si>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</si>
  <si>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</si>
  <si>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</si>
  <si>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</si>
  <si>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</si>
  <si>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</si>
  <si>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</si>
  <si>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</si>
  <si>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</si>
  <si>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</si>
  <si>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右表（粗収益の算出基礎）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</si>
  <si>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</si>
  <si>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</si>
  <si>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</si>
  <si>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</si>
  <si>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</si>
  <si>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</si>
  <si>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</si>
  <si>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</si>
  <si>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</si>
  <si>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</si>
  <si>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</si>
  <si>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</si>
  <si>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</si>
  <si>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</si>
  <si>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</si>
  <si>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</si>
  <si>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</si>
  <si>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</si>
  <si>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</si>
  <si>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</si>
  <si>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</si>
  <si>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</si>
  <si>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</si>
  <si>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</si>
  <si>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</si>
  <si>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</si>
  <si>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</si>
  <si>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</si>
  <si>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</si>
  <si>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</si>
  <si>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</si>
  <si>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保険料</t>
    <rPh sb="0" eb="3">
      <t>ホケンリョウ</t>
    </rPh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</si>
  <si>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</si>
  <si>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</si>
  <si>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</si>
  <si>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</si>
  <si>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</si>
  <si>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</si>
  <si>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</si>
  <si>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</si>
  <si>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</si>
  <si>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</si>
  <si>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</si>
  <si>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㎡</t>
  </si>
  <si>
    <t>資材・農機具庫</t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</si>
  <si>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</si>
  <si>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</si>
  <si>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</si>
  <si>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</si>
  <si>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⑤=③×④（円/ha）</t>
    <phoneticPr fontId="4"/>
  </si>
  <si>
    <t>⑥（％）</t>
    <phoneticPr fontId="4"/>
  </si>
  <si>
    <t>⑧（年）</t>
    <phoneticPr fontId="4"/>
  </si>
  <si>
    <t>⑨＝（⑤－⑦）÷⑧（円/ha）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</si>
  <si>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</si>
  <si>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</si>
  <si>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</si>
  <si>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</si>
  <si>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</si>
  <si>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台</t>
    <rPh sb="0" eb="1">
      <t>ダイ</t>
    </rPh>
    <phoneticPr fontId="4"/>
  </si>
  <si>
    <t>数量</t>
    <phoneticPr fontId="4"/>
  </si>
  <si>
    <t>（本）</t>
    <rPh sb="1" eb="2">
      <t>ホン</t>
    </rPh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</si>
  <si>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</si>
  <si>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</si>
  <si>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</si>
  <si>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</si>
  <si>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</si>
  <si>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</si>
  <si>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</si>
  <si>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10a機械</t>
    <phoneticPr fontId="4"/>
  </si>
  <si>
    <t>ℓ・kw／時</t>
    <rPh sb="5" eb="6">
      <t>ジ</t>
    </rPh>
    <phoneticPr fontId="4"/>
  </si>
  <si>
    <t>（イ）肥料名</t>
  </si>
  <si>
    <t>施用量</t>
    <rPh sb="0" eb="2">
      <t>セヨウ</t>
    </rPh>
    <rPh sb="2" eb="3">
      <t>リョウ</t>
    </rPh>
    <phoneticPr fontId="4"/>
  </si>
  <si>
    <t>成分比率（％）</t>
    <rPh sb="0" eb="2">
      <t>セイブン</t>
    </rPh>
    <rPh sb="2" eb="4">
      <t>ヒリツ</t>
    </rPh>
    <phoneticPr fontId="4"/>
  </si>
  <si>
    <t>単　価</t>
    <phoneticPr fontId="4"/>
  </si>
  <si>
    <t>樹皮堆肥</t>
  </si>
  <si>
    <t>(kg)</t>
    <phoneticPr fontId="4"/>
  </si>
  <si>
    <t>(kg)</t>
  </si>
  <si>
    <t>希釈倍率</t>
    <rPh sb="0" eb="2">
      <t>キシャク</t>
    </rPh>
    <rPh sb="2" eb="4">
      <t>バイリツ</t>
    </rPh>
    <phoneticPr fontId="15"/>
  </si>
  <si>
    <t>散布量</t>
    <rPh sb="0" eb="3">
      <t>サンプリョウ</t>
    </rPh>
    <phoneticPr fontId="15"/>
  </si>
  <si>
    <t>規格</t>
    <rPh sb="0" eb="2">
      <t>キカク</t>
    </rPh>
    <phoneticPr fontId="15"/>
  </si>
  <si>
    <t>価格</t>
    <rPh sb="0" eb="2">
      <t>カカク</t>
    </rPh>
    <phoneticPr fontId="15"/>
  </si>
  <si>
    <t>殺</t>
  </si>
  <si>
    <t>g･cc</t>
  </si>
  <si>
    <t>菌</t>
  </si>
  <si>
    <t>剤</t>
  </si>
  <si>
    <t>小　計</t>
    <phoneticPr fontId="4"/>
  </si>
  <si>
    <t>虫</t>
  </si>
  <si>
    <t>除</t>
    <rPh sb="0" eb="1">
      <t>ジョソウザイ</t>
    </rPh>
    <phoneticPr fontId="15"/>
  </si>
  <si>
    <t>ラウンドアップハイロード</t>
    <phoneticPr fontId="4"/>
  </si>
  <si>
    <t>草</t>
    <rPh sb="0" eb="1">
      <t>クサ</t>
    </rPh>
    <phoneticPr fontId="15"/>
  </si>
  <si>
    <t>剤</t>
    <rPh sb="0" eb="1">
      <t>ザイ</t>
    </rPh>
    <phoneticPr fontId="15"/>
  </si>
  <si>
    <t>調</t>
    <rPh sb="0" eb="1">
      <t>チョウ</t>
    </rPh>
    <phoneticPr fontId="15"/>
  </si>
  <si>
    <t>成</t>
    <rPh sb="0" eb="1">
      <t>セイ</t>
    </rPh>
    <phoneticPr fontId="15"/>
  </si>
  <si>
    <t>小　計</t>
    <phoneticPr fontId="4"/>
  </si>
  <si>
    <t>デランフロアブル</t>
    <phoneticPr fontId="4"/>
  </si>
  <si>
    <t>ペンコゼブ水和剤</t>
    <rPh sb="5" eb="8">
      <t>スイワザイ</t>
    </rPh>
    <phoneticPr fontId="4"/>
  </si>
  <si>
    <t>トリフミン水和剤</t>
    <rPh sb="5" eb="8">
      <t>スイワザイ</t>
    </rPh>
    <phoneticPr fontId="4"/>
  </si>
  <si>
    <t>サイアノックス水和剤</t>
    <rPh sb="7" eb="10">
      <t>スイワザイ</t>
    </rPh>
    <phoneticPr fontId="4"/>
  </si>
  <si>
    <t>トレノックスフロアブル</t>
    <phoneticPr fontId="4"/>
  </si>
  <si>
    <t>デランフロアブル</t>
    <phoneticPr fontId="15"/>
  </si>
  <si>
    <t>アンビルフロアブル</t>
    <phoneticPr fontId="4"/>
  </si>
  <si>
    <t>トップジンM水和剤</t>
    <rPh sb="6" eb="9">
      <t>スイワザイ</t>
    </rPh>
    <phoneticPr fontId="4"/>
  </si>
  <si>
    <t>オーソサイド水和剤</t>
    <rPh sb="6" eb="9">
      <t>スイワザイ</t>
    </rPh>
    <phoneticPr fontId="4"/>
  </si>
  <si>
    <t>　</t>
    <phoneticPr fontId="4"/>
  </si>
  <si>
    <t>40ha</t>
    <phoneticPr fontId="3"/>
  </si>
  <si>
    <t>幸水</t>
    <rPh sb="0" eb="2">
      <t>コウスイ</t>
    </rPh>
    <phoneticPr fontId="3"/>
  </si>
  <si>
    <t>豊水</t>
    <rPh sb="0" eb="2">
      <t>ホウスイ</t>
    </rPh>
    <phoneticPr fontId="3"/>
  </si>
  <si>
    <t>スコア顆粒水和剤</t>
    <rPh sb="3" eb="5">
      <t>カリュウ</t>
    </rPh>
    <rPh sb="5" eb="8">
      <t>スイワザイ</t>
    </rPh>
    <phoneticPr fontId="15"/>
  </si>
  <si>
    <t>キノンドーフロアブル</t>
    <phoneticPr fontId="4"/>
  </si>
  <si>
    <t>キャプレート水和剤</t>
    <rPh sb="6" eb="9">
      <t>スイワザイ</t>
    </rPh>
    <phoneticPr fontId="4"/>
  </si>
  <si>
    <t>アミスター１０フロアブル</t>
    <phoneticPr fontId="4"/>
  </si>
  <si>
    <t>ベルクートフロアブル</t>
    <phoneticPr fontId="4"/>
  </si>
  <si>
    <t>スピードスプレーヤ</t>
    <phoneticPr fontId="4"/>
  </si>
  <si>
    <t>トラクター</t>
    <phoneticPr fontId="4"/>
  </si>
  <si>
    <t>クミアイアタックオイル</t>
    <phoneticPr fontId="4"/>
  </si>
  <si>
    <t>ダイアジノン水和剤３４</t>
    <rPh sb="6" eb="9">
      <t>スイワザイ</t>
    </rPh>
    <phoneticPr fontId="4"/>
  </si>
  <si>
    <t>アクタラ顆粒水溶剤</t>
    <rPh sb="4" eb="6">
      <t>カリュウ</t>
    </rPh>
    <rPh sb="6" eb="8">
      <t>スイヨウ</t>
    </rPh>
    <rPh sb="8" eb="9">
      <t>ザイ</t>
    </rPh>
    <phoneticPr fontId="4"/>
  </si>
  <si>
    <t>スプラサイド水和剤</t>
    <rPh sb="6" eb="9">
      <t>スイワザイ</t>
    </rPh>
    <phoneticPr fontId="4"/>
  </si>
  <si>
    <t>スミチオン水和剤40</t>
    <rPh sb="5" eb="8">
      <t>スイワザイ</t>
    </rPh>
    <phoneticPr fontId="4"/>
  </si>
  <si>
    <t>スタークル顆粒水溶剤</t>
    <rPh sb="5" eb="7">
      <t>カリュウ</t>
    </rPh>
    <rPh sb="7" eb="9">
      <t>スイヨウ</t>
    </rPh>
    <rPh sb="9" eb="10">
      <t>ザイ</t>
    </rPh>
    <phoneticPr fontId="4"/>
  </si>
  <si>
    <t>バロックフロアブル</t>
    <phoneticPr fontId="4"/>
  </si>
  <si>
    <t>アグロスリン水和剤</t>
    <rPh sb="6" eb="9">
      <t>スイワザイ</t>
    </rPh>
    <phoneticPr fontId="4"/>
  </si>
  <si>
    <t>せん定・誘引</t>
    <rPh sb="2" eb="3">
      <t>テイ</t>
    </rPh>
    <rPh sb="4" eb="6">
      <t>ユウイン</t>
    </rPh>
    <phoneticPr fontId="3"/>
  </si>
  <si>
    <t>摘果</t>
    <rPh sb="0" eb="1">
      <t>テキ</t>
    </rPh>
    <rPh sb="1" eb="2">
      <t>カ</t>
    </rPh>
    <phoneticPr fontId="3"/>
  </si>
  <si>
    <t>◎　開花</t>
    <rPh sb="2" eb="4">
      <t>カイカ</t>
    </rPh>
    <phoneticPr fontId="3"/>
  </si>
  <si>
    <t>15.0ha</t>
    <phoneticPr fontId="3"/>
  </si>
  <si>
    <t>10.0ha</t>
    <phoneticPr fontId="3"/>
  </si>
  <si>
    <t>◎</t>
  </si>
  <si>
    <t>造成畑，傾斜度５％以下</t>
    <phoneticPr fontId="3"/>
  </si>
  <si>
    <t>あけみず</t>
    <phoneticPr fontId="3"/>
  </si>
  <si>
    <t>市場出荷を見据えた中玉生産</t>
    <rPh sb="0" eb="2">
      <t>シジョウ</t>
    </rPh>
    <rPh sb="2" eb="4">
      <t>シュッカ</t>
    </rPh>
    <rPh sb="5" eb="7">
      <t>ミス</t>
    </rPh>
    <rPh sb="9" eb="10">
      <t>チュウ</t>
    </rPh>
    <rPh sb="10" eb="11">
      <t>ダマ</t>
    </rPh>
    <rPh sb="11" eb="13">
      <t>セイサン</t>
    </rPh>
    <phoneticPr fontId="3"/>
  </si>
  <si>
    <t>交配</t>
    <rPh sb="0" eb="2">
      <t>コウハイ</t>
    </rPh>
    <phoneticPr fontId="4"/>
  </si>
  <si>
    <t>摘果</t>
    <rPh sb="0" eb="1">
      <t>テキ</t>
    </rPh>
    <rPh sb="1" eb="2">
      <t>カ</t>
    </rPh>
    <phoneticPr fontId="4"/>
  </si>
  <si>
    <t>病害虫防除</t>
    <rPh sb="0" eb="3">
      <t>ビョウガイチュウ</t>
    </rPh>
    <rPh sb="3" eb="5">
      <t>ボウジョ</t>
    </rPh>
    <phoneticPr fontId="4"/>
  </si>
  <si>
    <t>霜害対策</t>
    <rPh sb="0" eb="2">
      <t>ソウガイ</t>
    </rPh>
    <rPh sb="2" eb="4">
      <t>タイサク</t>
    </rPh>
    <phoneticPr fontId="4"/>
  </si>
  <si>
    <t>ヤガ対策</t>
    <rPh sb="2" eb="4">
      <t>タイサク</t>
    </rPh>
    <phoneticPr fontId="4"/>
  </si>
  <si>
    <t>収穫</t>
    <rPh sb="0" eb="2">
      <t>シュウカク</t>
    </rPh>
    <phoneticPr fontId="4"/>
  </si>
  <si>
    <t>土づくり</t>
    <rPh sb="0" eb="1">
      <t>ツチ</t>
    </rPh>
    <phoneticPr fontId="4"/>
  </si>
  <si>
    <t>施肥</t>
    <rPh sb="0" eb="2">
      <t>セヒ</t>
    </rPh>
    <phoneticPr fontId="4"/>
  </si>
  <si>
    <t>１０月</t>
    <rPh sb="2" eb="3">
      <t>ガツ</t>
    </rPh>
    <phoneticPr fontId="4"/>
  </si>
  <si>
    <t>３月</t>
    <rPh sb="1" eb="2">
      <t>ガツ</t>
    </rPh>
    <phoneticPr fontId="4"/>
  </si>
  <si>
    <t>８～１０月</t>
    <rPh sb="4" eb="5">
      <t>ガツ</t>
    </rPh>
    <phoneticPr fontId="4"/>
  </si>
  <si>
    <t>３月～１０月</t>
    <rPh sb="1" eb="2">
      <t>ガツ</t>
    </rPh>
    <rPh sb="5" eb="6">
      <t>ガツ</t>
    </rPh>
    <phoneticPr fontId="4"/>
  </si>
  <si>
    <t>７月～１０月</t>
    <rPh sb="1" eb="2">
      <t>ガツ</t>
    </rPh>
    <rPh sb="5" eb="6">
      <t>ガツ</t>
    </rPh>
    <phoneticPr fontId="4"/>
  </si>
  <si>
    <t>４月～５月</t>
    <rPh sb="1" eb="2">
      <t>ガツ</t>
    </rPh>
    <rPh sb="4" eb="5">
      <t>ガツ</t>
    </rPh>
    <phoneticPr fontId="4"/>
  </si>
  <si>
    <t>５月～７月</t>
    <rPh sb="1" eb="2">
      <t>ガツ</t>
    </rPh>
    <rPh sb="4" eb="5">
      <t>ガツ</t>
    </rPh>
    <phoneticPr fontId="4"/>
  </si>
  <si>
    <t>枝管理</t>
    <rPh sb="0" eb="1">
      <t>エダ</t>
    </rPh>
    <rPh sb="1" eb="3">
      <t>カンリ</t>
    </rPh>
    <phoneticPr fontId="4"/>
  </si>
  <si>
    <t>露地</t>
    <rPh sb="0" eb="2">
      <t>ロジ</t>
    </rPh>
    <phoneticPr fontId="4"/>
  </si>
  <si>
    <t>日本なし</t>
    <rPh sb="0" eb="2">
      <t>ニホン</t>
    </rPh>
    <phoneticPr fontId="4"/>
  </si>
  <si>
    <t>４月</t>
    <rPh sb="1" eb="2">
      <t>ガツ</t>
    </rPh>
    <phoneticPr fontId="4"/>
  </si>
  <si>
    <t>交配和合性を利用した混植とミツバチによる交配。</t>
    <rPh sb="0" eb="2">
      <t>コウハイ</t>
    </rPh>
    <rPh sb="2" eb="4">
      <t>ワゴウ</t>
    </rPh>
    <rPh sb="4" eb="5">
      <t>セイ</t>
    </rPh>
    <rPh sb="6" eb="8">
      <t>リヨウ</t>
    </rPh>
    <rPh sb="10" eb="12">
      <t>コンショク</t>
    </rPh>
    <rPh sb="20" eb="22">
      <t>コウハイ</t>
    </rPh>
    <phoneticPr fontId="4"/>
  </si>
  <si>
    <t>ミツバチ</t>
    <phoneticPr fontId="4"/>
  </si>
  <si>
    <t>１１月～３月</t>
    <rPh sb="2" eb="3">
      <t>ガツ</t>
    </rPh>
    <rPh sb="5" eb="6">
      <t>ガツ</t>
    </rPh>
    <phoneticPr fontId="4"/>
  </si>
  <si>
    <t>せん定・誘引</t>
    <rPh sb="2" eb="3">
      <t>テイ</t>
    </rPh>
    <rPh sb="4" eb="6">
      <t>ユウイン</t>
    </rPh>
    <phoneticPr fontId="4"/>
  </si>
  <si>
    <t>テープナー</t>
    <phoneticPr fontId="4"/>
  </si>
  <si>
    <t>テープナーを用いた夏枝誘引。</t>
    <rPh sb="6" eb="7">
      <t>モチ</t>
    </rPh>
    <rPh sb="9" eb="10">
      <t>ナツ</t>
    </rPh>
    <rPh sb="10" eb="11">
      <t>エダ</t>
    </rPh>
    <rPh sb="11" eb="13">
      <t>ユウイン</t>
    </rPh>
    <phoneticPr fontId="4"/>
  </si>
  <si>
    <t>ブロードキャスター</t>
    <phoneticPr fontId="4"/>
  </si>
  <si>
    <t>マニュアスプレッダー</t>
    <phoneticPr fontId="4"/>
  </si>
  <si>
    <t>フォークリフト</t>
    <phoneticPr fontId="4"/>
  </si>
  <si>
    <t>果樹棚</t>
    <rPh sb="0" eb="2">
      <t>カジュ</t>
    </rPh>
    <rPh sb="2" eb="3">
      <t>ダナ</t>
    </rPh>
    <phoneticPr fontId="4"/>
  </si>
  <si>
    <t>低コストジョイント仕立て用</t>
    <rPh sb="0" eb="1">
      <t>テイ</t>
    </rPh>
    <rPh sb="9" eb="11">
      <t>ジタ</t>
    </rPh>
    <rPh sb="12" eb="13">
      <t>ヨウ</t>
    </rPh>
    <phoneticPr fontId="4"/>
  </si>
  <si>
    <t>防蛾灯</t>
    <rPh sb="0" eb="1">
      <t>フセ</t>
    </rPh>
    <rPh sb="1" eb="2">
      <t>ガ</t>
    </rPh>
    <rPh sb="2" eb="3">
      <t>アカ</t>
    </rPh>
    <phoneticPr fontId="4"/>
  </si>
  <si>
    <t>防霜ファン</t>
    <rPh sb="0" eb="1">
      <t>フセ</t>
    </rPh>
    <rPh sb="1" eb="2">
      <t>シモ</t>
    </rPh>
    <phoneticPr fontId="4"/>
  </si>
  <si>
    <t>１０aあたり３機</t>
    <rPh sb="7" eb="8">
      <t>キ</t>
    </rPh>
    <phoneticPr fontId="4"/>
  </si>
  <si>
    <t>ｇ・CC</t>
  </si>
  <si>
    <t>ｇ・CC</t>
    <phoneticPr fontId="4"/>
  </si>
  <si>
    <t>殺虫剤</t>
    <rPh sb="0" eb="3">
      <t>サッチュウザイ</t>
    </rPh>
    <phoneticPr fontId="4"/>
  </si>
  <si>
    <t>除草剤</t>
    <rPh sb="0" eb="3">
      <t>ジョソウザイ</t>
    </rPh>
    <phoneticPr fontId="4"/>
  </si>
  <si>
    <t>展着剤</t>
    <rPh sb="0" eb="3">
      <t>テンチャクザイ</t>
    </rPh>
    <phoneticPr fontId="4"/>
  </si>
  <si>
    <t>キャビンつきスピードスプレーヤⅢ型　１０００ℓ</t>
    <rPh sb="16" eb="17">
      <t>ガタ</t>
    </rPh>
    <phoneticPr fontId="4"/>
  </si>
  <si>
    <t>防霜ファン</t>
    <rPh sb="0" eb="1">
      <t>フセ</t>
    </rPh>
    <rPh sb="1" eb="2">
      <t>シモ</t>
    </rPh>
    <phoneticPr fontId="4"/>
  </si>
  <si>
    <t>防霜ファン動作点検</t>
    <rPh sb="0" eb="2">
      <t>ボウソウ</t>
    </rPh>
    <rPh sb="5" eb="7">
      <t>ドウサ</t>
    </rPh>
    <rPh sb="7" eb="9">
      <t>テンケン</t>
    </rPh>
    <phoneticPr fontId="4"/>
  </si>
  <si>
    <t>無袋，露地栽培，ジョイント仕立て，列間　３ｍ　株間２ｍ，専用低コスト棚</t>
    <rPh sb="0" eb="1">
      <t>ナシ</t>
    </rPh>
    <rPh sb="1" eb="2">
      <t>フクロ</t>
    </rPh>
    <rPh sb="3" eb="5">
      <t>ロジ</t>
    </rPh>
    <rPh sb="5" eb="7">
      <t>サイバイ</t>
    </rPh>
    <rPh sb="13" eb="15">
      <t>ジタ</t>
    </rPh>
    <rPh sb="17" eb="18">
      <t>レツ</t>
    </rPh>
    <rPh sb="18" eb="19">
      <t>カン</t>
    </rPh>
    <rPh sb="23" eb="24">
      <t>カブ</t>
    </rPh>
    <rPh sb="24" eb="25">
      <t>マ</t>
    </rPh>
    <rPh sb="28" eb="30">
      <t>センヨウ</t>
    </rPh>
    <rPh sb="30" eb="31">
      <t>テイ</t>
    </rPh>
    <rPh sb="34" eb="35">
      <t>タナ</t>
    </rPh>
    <phoneticPr fontId="3"/>
  </si>
  <si>
    <t>LED防蛾灯</t>
    <rPh sb="3" eb="4">
      <t>フセ</t>
    </rPh>
    <rPh sb="4" eb="5">
      <t>ガ</t>
    </rPh>
    <rPh sb="5" eb="6">
      <t>アカ</t>
    </rPh>
    <phoneticPr fontId="4"/>
  </si>
  <si>
    <t>非破壊糖度センサー，トレーサビリティ機能を備える選果機</t>
    <rPh sb="0" eb="3">
      <t>ヒハカイ</t>
    </rPh>
    <rPh sb="3" eb="5">
      <t>トウド</t>
    </rPh>
    <rPh sb="18" eb="20">
      <t>キノウ</t>
    </rPh>
    <rPh sb="21" eb="22">
      <t>ソナ</t>
    </rPh>
    <rPh sb="24" eb="26">
      <t>センカ</t>
    </rPh>
    <rPh sb="26" eb="27">
      <t>キ</t>
    </rPh>
    <phoneticPr fontId="4"/>
  </si>
  <si>
    <t>薬剤使用量
４月上旬まで300ℓそれ以後は500ℓ</t>
    <rPh sb="0" eb="2">
      <t>ヤクザイ</t>
    </rPh>
    <rPh sb="2" eb="4">
      <t>シヨウ</t>
    </rPh>
    <rPh sb="4" eb="5">
      <t>リョウ</t>
    </rPh>
    <rPh sb="7" eb="8">
      <t>ガツ</t>
    </rPh>
    <rPh sb="8" eb="10">
      <t>ジョウジュン</t>
    </rPh>
    <rPh sb="18" eb="20">
      <t>イゴ</t>
    </rPh>
    <phoneticPr fontId="4"/>
  </si>
  <si>
    <t>列状深耕
堆肥施用
土壌改良資材施用</t>
    <rPh sb="0" eb="1">
      <t>レツ</t>
    </rPh>
    <rPh sb="1" eb="2">
      <t>ジョウ</t>
    </rPh>
    <rPh sb="2" eb="3">
      <t>フカ</t>
    </rPh>
    <rPh sb="3" eb="4">
      <t>タガヤ</t>
    </rPh>
    <rPh sb="5" eb="7">
      <t>タイヒ</t>
    </rPh>
    <rPh sb="7" eb="9">
      <t>セヨウ</t>
    </rPh>
    <rPh sb="10" eb="12">
      <t>ドジョウ</t>
    </rPh>
    <rPh sb="12" eb="14">
      <t>カイリョウ</t>
    </rPh>
    <rPh sb="14" eb="16">
      <t>シザイ</t>
    </rPh>
    <rPh sb="16" eb="18">
      <t>セヨウ</t>
    </rPh>
    <phoneticPr fontId="4"/>
  </si>
  <si>
    <t>ブロードキャスター</t>
    <phoneticPr fontId="4"/>
  </si>
  <si>
    <t>フレコンパックによる肥料の納入</t>
    <rPh sb="10" eb="12">
      <t>ヒリョウ</t>
    </rPh>
    <rPh sb="13" eb="15">
      <t>ノウニュウ</t>
    </rPh>
    <phoneticPr fontId="4"/>
  </si>
  <si>
    <t>LED</t>
    <phoneticPr fontId="4"/>
  </si>
  <si>
    <t>潅水装置</t>
    <rPh sb="0" eb="2">
      <t>カンスイ</t>
    </rPh>
    <rPh sb="2" eb="4">
      <t>ソウチ</t>
    </rPh>
    <phoneticPr fontId="4"/>
  </si>
  <si>
    <t>ハンガースプリンクラー</t>
    <phoneticPr fontId="4"/>
  </si>
  <si>
    <t>梨運搬用トレーラー</t>
    <rPh sb="0" eb="1">
      <t>ナシ</t>
    </rPh>
    <rPh sb="1" eb="4">
      <t>ウンパンヨウ</t>
    </rPh>
    <phoneticPr fontId="4"/>
  </si>
  <si>
    <t>50PS</t>
    <phoneticPr fontId="4"/>
  </si>
  <si>
    <t>ha</t>
    <phoneticPr fontId="4"/>
  </si>
  <si>
    <t>マイクロバス</t>
    <phoneticPr fontId="4"/>
  </si>
  <si>
    <t>ロータリー(アタッチメント）</t>
    <phoneticPr fontId="4"/>
  </si>
  <si>
    <t>フレールモア(アタッチメント）</t>
    <phoneticPr fontId="4"/>
  </si>
  <si>
    <t>ジョイント仕立て</t>
    <rPh sb="5" eb="7">
      <t>ジタ</t>
    </rPh>
    <phoneticPr fontId="4"/>
  </si>
  <si>
    <t>軽量鉄骨</t>
    <rPh sb="0" eb="2">
      <t>ケイリョウ</t>
    </rPh>
    <rPh sb="2" eb="4">
      <t>テッコツ</t>
    </rPh>
    <phoneticPr fontId="4"/>
  </si>
  <si>
    <t>露地・無袋栽培</t>
    <rPh sb="0" eb="2">
      <t>ロジ</t>
    </rPh>
    <rPh sb="3" eb="4">
      <t>ナシ</t>
    </rPh>
    <rPh sb="4" eb="5">
      <t>フクロ</t>
    </rPh>
    <rPh sb="5" eb="7">
      <t>サイバイ</t>
    </rPh>
    <phoneticPr fontId="4"/>
  </si>
  <si>
    <t>台</t>
    <rPh sb="0" eb="1">
      <t>ダイ</t>
    </rPh>
    <phoneticPr fontId="4"/>
  </si>
  <si>
    <t>29人乗り</t>
    <rPh sb="2" eb="3">
      <t>ニン</t>
    </rPh>
    <rPh sb="3" eb="4">
      <t>ノ</t>
    </rPh>
    <phoneticPr fontId="4"/>
  </si>
  <si>
    <t>ワゴン</t>
    <phoneticPr fontId="4"/>
  </si>
  <si>
    <t>10人乗り</t>
    <rPh sb="2" eb="3">
      <t>ニン</t>
    </rPh>
    <rPh sb="3" eb="4">
      <t>ノ</t>
    </rPh>
    <phoneticPr fontId="4"/>
  </si>
  <si>
    <t>事務所・休憩所</t>
    <rPh sb="0" eb="2">
      <t>ジム</t>
    </rPh>
    <rPh sb="2" eb="3">
      <t>ショ</t>
    </rPh>
    <rPh sb="4" eb="6">
      <t>キュウケイ</t>
    </rPh>
    <rPh sb="6" eb="7">
      <t>ショ</t>
    </rPh>
    <phoneticPr fontId="4"/>
  </si>
  <si>
    <t xml:space="preserve">
バックフォー
マニュアスプレッダー
ブロードキャスター</t>
    <phoneticPr fontId="4"/>
  </si>
  <si>
    <t>テープナー</t>
    <phoneticPr fontId="4"/>
  </si>
  <si>
    <t>１</t>
  </si>
  <si>
    <t>２</t>
  </si>
  <si>
    <t>　</t>
  </si>
  <si>
    <t>３</t>
  </si>
  <si>
    <t>４</t>
  </si>
  <si>
    <t>５</t>
  </si>
  <si>
    <t>６</t>
  </si>
  <si>
    <t>７</t>
  </si>
  <si>
    <t>８</t>
  </si>
  <si>
    <t>９</t>
  </si>
  <si>
    <t xml:space="preserve"> 　作　業　別</t>
  </si>
  <si>
    <t>　 作　　　型</t>
  </si>
  <si>
    <t>◎</t>
    <phoneticPr fontId="4"/>
  </si>
  <si>
    <t>整枝剪定・誘引</t>
  </si>
  <si>
    <t>施肥</t>
  </si>
  <si>
    <t>防除</t>
  </si>
  <si>
    <t>摘蕾摘花</t>
  </si>
  <si>
    <t>受粉</t>
  </si>
  <si>
    <t>防霜潅水</t>
  </si>
  <si>
    <t>摘果</t>
  </si>
  <si>
    <t>除草</t>
  </si>
  <si>
    <t>新梢管理</t>
  </si>
  <si>
    <t>収穫・荷造り</t>
  </si>
  <si>
    <t>土改園内管理</t>
  </si>
  <si>
    <t>旬　別　計</t>
  </si>
  <si>
    <t>月　  　計</t>
  </si>
  <si>
    <t>　</t>
    <phoneticPr fontId="4"/>
  </si>
  <si>
    <t>　</t>
    <phoneticPr fontId="4"/>
  </si>
  <si>
    <t>7.0ha</t>
    <phoneticPr fontId="3"/>
  </si>
  <si>
    <t>8.0ha</t>
    <phoneticPr fontId="3"/>
  </si>
  <si>
    <t>なし（あけみず）</t>
    <phoneticPr fontId="4"/>
  </si>
  <si>
    <t>なし（幸水）</t>
    <rPh sb="3" eb="5">
      <t>コウスイ</t>
    </rPh>
    <phoneticPr fontId="4"/>
  </si>
  <si>
    <t>なし（豊水）</t>
    <rPh sb="3" eb="5">
      <t>ホウスイ</t>
    </rPh>
    <phoneticPr fontId="4"/>
  </si>
  <si>
    <t>栽培面積</t>
    <rPh sb="0" eb="2">
      <t>サイバイ</t>
    </rPh>
    <rPh sb="2" eb="4">
      <t>メンセキ</t>
    </rPh>
    <phoneticPr fontId="4"/>
  </si>
  <si>
    <t>あきづき</t>
    <phoneticPr fontId="3"/>
  </si>
  <si>
    <t>合計</t>
    <rPh sb="0" eb="2">
      <t>ゴウケイ</t>
    </rPh>
    <phoneticPr fontId="4"/>
  </si>
  <si>
    <t>構成員労働時間</t>
    <rPh sb="0" eb="3">
      <t>コウセイイン</t>
    </rPh>
    <rPh sb="3" eb="5">
      <t>ロウドウ</t>
    </rPh>
    <rPh sb="5" eb="7">
      <t>ジカン</t>
    </rPh>
    <phoneticPr fontId="4"/>
  </si>
  <si>
    <t>常時雇用労働時間</t>
    <rPh sb="0" eb="2">
      <t>ジョウジ</t>
    </rPh>
    <rPh sb="2" eb="4">
      <t>コヨウ</t>
    </rPh>
    <rPh sb="4" eb="6">
      <t>ロウドウ</t>
    </rPh>
    <rPh sb="6" eb="8">
      <t>ジカン</t>
    </rPh>
    <phoneticPr fontId="4"/>
  </si>
  <si>
    <t>過不足労働力1</t>
    <rPh sb="0" eb="3">
      <t>カフソク</t>
    </rPh>
    <rPh sb="3" eb="6">
      <t>ロウドウリョク</t>
    </rPh>
    <phoneticPr fontId="4"/>
  </si>
  <si>
    <t>臨時雇用労力</t>
    <rPh sb="0" eb="2">
      <t>リンジ</t>
    </rPh>
    <rPh sb="2" eb="4">
      <t>コヨウ</t>
    </rPh>
    <rPh sb="4" eb="6">
      <t>ロウリョク</t>
    </rPh>
    <phoneticPr fontId="4"/>
  </si>
  <si>
    <t>臨時雇用者数</t>
    <rPh sb="0" eb="2">
      <t>リンジ</t>
    </rPh>
    <rPh sb="2" eb="4">
      <t>コヨウ</t>
    </rPh>
    <rPh sb="4" eb="5">
      <t>シャ</t>
    </rPh>
    <rPh sb="5" eb="6">
      <t>スウ</t>
    </rPh>
    <phoneticPr fontId="4"/>
  </si>
  <si>
    <t>しきしま特</t>
    <rPh sb="4" eb="5">
      <t>トク</t>
    </rPh>
    <phoneticPr fontId="4"/>
  </si>
  <si>
    <t>有機入り化成</t>
    <rPh sb="0" eb="2">
      <t>ユウキ</t>
    </rPh>
    <rPh sb="2" eb="3">
      <t>イ</t>
    </rPh>
    <rPh sb="4" eb="6">
      <t>カセイ</t>
    </rPh>
    <phoneticPr fontId="4"/>
  </si>
  <si>
    <t>有機ペレット</t>
    <rPh sb="0" eb="2">
      <t>ユウキ</t>
    </rPh>
    <phoneticPr fontId="4"/>
  </si>
  <si>
    <t>ラブグリーン</t>
    <phoneticPr fontId="4"/>
  </si>
  <si>
    <t>発酵エキス特８－１</t>
    <rPh sb="0" eb="2">
      <t>ハッコウ</t>
    </rPh>
    <rPh sb="5" eb="6">
      <t>トク</t>
    </rPh>
    <phoneticPr fontId="4"/>
  </si>
  <si>
    <t>しきしま９</t>
    <phoneticPr fontId="4"/>
  </si>
  <si>
    <t>　</t>
    <phoneticPr fontId="4"/>
  </si>
  <si>
    <t>　</t>
    <phoneticPr fontId="4"/>
  </si>
  <si>
    <t>マリンカル</t>
    <phoneticPr fontId="4"/>
  </si>
  <si>
    <t>(ｋｇ)</t>
    <phoneticPr fontId="4"/>
  </si>
  <si>
    <t>平成２２年</t>
    <rPh sb="0" eb="2">
      <t>ヘイセイ</t>
    </rPh>
    <rPh sb="4" eb="5">
      <t>ネン</t>
    </rPh>
    <phoneticPr fontId="4"/>
  </si>
  <si>
    <t>福岡</t>
    <rPh sb="0" eb="2">
      <t>フクオカ</t>
    </rPh>
    <phoneticPr fontId="4"/>
  </si>
  <si>
    <t>数量</t>
    <rPh sb="0" eb="2">
      <t>スウリョウ</t>
    </rPh>
    <phoneticPr fontId="4"/>
  </si>
  <si>
    <t>販売額</t>
    <rPh sb="0" eb="2">
      <t>ハンバイ</t>
    </rPh>
    <rPh sb="2" eb="3">
      <t>ガク</t>
    </rPh>
    <phoneticPr fontId="4"/>
  </si>
  <si>
    <t>広島市中央卸売市場</t>
    <rPh sb="0" eb="2">
      <t>ヒロシマ</t>
    </rPh>
    <rPh sb="2" eb="3">
      <t>シ</t>
    </rPh>
    <rPh sb="3" eb="5">
      <t>チュウオウ</t>
    </rPh>
    <rPh sb="5" eb="7">
      <t>オロシウリ</t>
    </rPh>
    <rPh sb="7" eb="9">
      <t>イチバ</t>
    </rPh>
    <phoneticPr fontId="4"/>
  </si>
  <si>
    <t>佐賀</t>
    <rPh sb="0" eb="2">
      <t>サガ</t>
    </rPh>
    <phoneticPr fontId="4"/>
  </si>
  <si>
    <t>平均</t>
    <rPh sb="0" eb="2">
      <t>ヘイキン</t>
    </rPh>
    <phoneticPr fontId="4"/>
  </si>
  <si>
    <t>単価</t>
    <rPh sb="0" eb="2">
      <t>タンカ</t>
    </rPh>
    <phoneticPr fontId="4"/>
  </si>
  <si>
    <t>幸水　８月単価</t>
    <rPh sb="0" eb="2">
      <t>コウスイ</t>
    </rPh>
    <rPh sb="4" eb="5">
      <t>ガツ</t>
    </rPh>
    <rPh sb="5" eb="7">
      <t>タンカ</t>
    </rPh>
    <phoneticPr fontId="4"/>
  </si>
  <si>
    <t>合計</t>
    <rPh sb="0" eb="2">
      <t>ゴウケイ</t>
    </rPh>
    <phoneticPr fontId="4"/>
  </si>
  <si>
    <t>平成２３年</t>
    <rPh sb="0" eb="2">
      <t>ヘイセイ</t>
    </rPh>
    <rPh sb="4" eb="5">
      <t>ネン</t>
    </rPh>
    <phoneticPr fontId="4"/>
  </si>
  <si>
    <t>平成２４年</t>
    <rPh sb="0" eb="2">
      <t>ヘイセイ</t>
    </rPh>
    <rPh sb="4" eb="5">
      <t>ネン</t>
    </rPh>
    <phoneticPr fontId="4"/>
  </si>
  <si>
    <t>３カ年の平均</t>
    <rPh sb="2" eb="3">
      <t>ネン</t>
    </rPh>
    <rPh sb="4" eb="6">
      <t>ヘイキン</t>
    </rPh>
    <phoneticPr fontId="4"/>
  </si>
  <si>
    <t>広島中央卸売市場</t>
    <rPh sb="0" eb="2">
      <t>ヒロシマ</t>
    </rPh>
    <rPh sb="2" eb="4">
      <t>チュウオウ</t>
    </rPh>
    <rPh sb="4" eb="6">
      <t>オロシウリ</t>
    </rPh>
    <rPh sb="6" eb="8">
      <t>イチバ</t>
    </rPh>
    <phoneticPr fontId="4"/>
  </si>
  <si>
    <t>　</t>
    <phoneticPr fontId="4"/>
  </si>
  <si>
    <t>幸水　市場単価</t>
    <rPh sb="0" eb="2">
      <t>コウスイ</t>
    </rPh>
    <rPh sb="3" eb="5">
      <t>シジョウ</t>
    </rPh>
    <rPh sb="5" eb="7">
      <t>タンカ</t>
    </rPh>
    <phoneticPr fontId="4"/>
  </si>
  <si>
    <t>豊水　市場単価</t>
    <rPh sb="0" eb="2">
      <t>ホウスイ</t>
    </rPh>
    <rPh sb="3" eb="5">
      <t>シジョウ</t>
    </rPh>
    <rPh sb="5" eb="7">
      <t>タンカ</t>
    </rPh>
    <phoneticPr fontId="4"/>
  </si>
  <si>
    <t>地場販売平均単価</t>
    <rPh sb="0" eb="2">
      <t>ジバ</t>
    </rPh>
    <rPh sb="2" eb="4">
      <t>ハンバイ</t>
    </rPh>
    <rPh sb="4" eb="6">
      <t>ヘイキン</t>
    </rPh>
    <rPh sb="6" eb="8">
      <t>タンカ</t>
    </rPh>
    <phoneticPr fontId="4"/>
  </si>
  <si>
    <t>幸水</t>
    <rPh sb="0" eb="2">
      <t>コウスイ</t>
    </rPh>
    <phoneticPr fontId="4"/>
  </si>
  <si>
    <t>市場</t>
    <rPh sb="0" eb="2">
      <t>シジョウ</t>
    </rPh>
    <phoneticPr fontId="4"/>
  </si>
  <si>
    <t>地場</t>
    <rPh sb="0" eb="2">
      <t>ジバ</t>
    </rPh>
    <phoneticPr fontId="4"/>
  </si>
  <si>
    <t>豊水</t>
    <rPh sb="0" eb="2">
      <t>ホウスイ</t>
    </rPh>
    <phoneticPr fontId="4"/>
  </si>
  <si>
    <t>あけみず</t>
    <phoneticPr fontId="4"/>
  </si>
  <si>
    <t>あきづき，甘太</t>
    <rPh sb="5" eb="6">
      <t>アマ</t>
    </rPh>
    <rPh sb="6" eb="7">
      <t>タ</t>
    </rPh>
    <phoneticPr fontId="3"/>
  </si>
  <si>
    <t>なし（あきづき，甘太）</t>
    <rPh sb="8" eb="9">
      <t>アマ</t>
    </rPh>
    <rPh sb="9" eb="10">
      <t>タ</t>
    </rPh>
    <phoneticPr fontId="4"/>
  </si>
  <si>
    <t>台</t>
    <rPh sb="0" eb="1">
      <t>ダイ</t>
    </rPh>
    <phoneticPr fontId="4"/>
  </si>
  <si>
    <t>防除（SS)</t>
    <rPh sb="0" eb="2">
      <t>ボウジョ</t>
    </rPh>
    <phoneticPr fontId="4"/>
  </si>
  <si>
    <t>　</t>
    <phoneticPr fontId="4"/>
  </si>
  <si>
    <t>幸水農園の掛け金</t>
    <rPh sb="0" eb="2">
      <t>コウスイ</t>
    </rPh>
    <rPh sb="2" eb="4">
      <t>ノウエン</t>
    </rPh>
    <rPh sb="5" eb="6">
      <t>カ</t>
    </rPh>
    <rPh sb="7" eb="8">
      <t>キン</t>
    </rPh>
    <phoneticPr fontId="4"/>
  </si>
  <si>
    <t>面積</t>
    <rPh sb="0" eb="2">
      <t>メンセキ</t>
    </rPh>
    <phoneticPr fontId="4"/>
  </si>
  <si>
    <t>果樹共済</t>
    <rPh sb="0" eb="2">
      <t>カジュ</t>
    </rPh>
    <rPh sb="2" eb="4">
      <t>キョウサイ</t>
    </rPh>
    <phoneticPr fontId="4"/>
  </si>
  <si>
    <t>　</t>
    <phoneticPr fontId="4"/>
  </si>
  <si>
    <t>　</t>
    <phoneticPr fontId="4"/>
  </si>
  <si>
    <t>　</t>
    <phoneticPr fontId="4"/>
  </si>
  <si>
    <t>収穫カゴ</t>
  </si>
  <si>
    <t>コンテナ</t>
  </si>
  <si>
    <t>剪定鋸</t>
  </si>
  <si>
    <t>剪定鋏</t>
  </si>
  <si>
    <t>（個）</t>
  </si>
  <si>
    <t>（丁）</t>
  </si>
  <si>
    <t>個</t>
    <rPh sb="0" eb="1">
      <t>コ</t>
    </rPh>
    <phoneticPr fontId="4"/>
  </si>
  <si>
    <t>誘引紐</t>
    <rPh sb="0" eb="2">
      <t>ユウイン</t>
    </rPh>
    <rPh sb="2" eb="3">
      <t>ヒモ</t>
    </rPh>
    <phoneticPr fontId="4"/>
  </si>
  <si>
    <t>巻</t>
    <rPh sb="0" eb="1">
      <t>マキ</t>
    </rPh>
    <phoneticPr fontId="4"/>
  </si>
  <si>
    <t>剪定鋏替刃</t>
    <rPh sb="3" eb="5">
      <t>カエバ</t>
    </rPh>
    <phoneticPr fontId="4"/>
  </si>
  <si>
    <t>アイアイカッター</t>
    <phoneticPr fontId="4"/>
  </si>
  <si>
    <t>防霜資材</t>
    <rPh sb="0" eb="1">
      <t>フセ</t>
    </rPh>
    <rPh sb="1" eb="2">
      <t>シモ</t>
    </rPh>
    <rPh sb="2" eb="4">
      <t>シザイ</t>
    </rPh>
    <phoneticPr fontId="4"/>
  </si>
  <si>
    <t>トラクター</t>
    <phoneticPr fontId="4"/>
  </si>
  <si>
    <t>防蛾灯(１０a当１０灯）</t>
    <rPh sb="0" eb="1">
      <t>ボウ</t>
    </rPh>
    <rPh sb="1" eb="2">
      <t>ガ</t>
    </rPh>
    <rPh sb="2" eb="3">
      <t>アカ</t>
    </rPh>
    <rPh sb="7" eb="8">
      <t>ア</t>
    </rPh>
    <rPh sb="10" eb="11">
      <t>アカ</t>
    </rPh>
    <phoneticPr fontId="4"/>
  </si>
  <si>
    <t>ｋｇ</t>
    <phoneticPr fontId="4"/>
  </si>
  <si>
    <t>バーク堆肥</t>
    <rPh sb="3" eb="5">
      <t>タイヒ</t>
    </rPh>
    <phoneticPr fontId="4"/>
  </si>
  <si>
    <t>化成肥料</t>
    <rPh sb="0" eb="2">
      <t>カセイ</t>
    </rPh>
    <rPh sb="2" eb="4">
      <t>ヒリョウ</t>
    </rPh>
    <phoneticPr fontId="4"/>
  </si>
  <si>
    <t>樹園地</t>
    <rPh sb="0" eb="3">
      <t>ジュエンチ</t>
    </rPh>
    <phoneticPr fontId="4"/>
  </si>
  <si>
    <t>あけみず</t>
    <phoneticPr fontId="4"/>
  </si>
  <si>
    <t>マイクロバス２台</t>
    <rPh sb="7" eb="8">
      <t>ダイ</t>
    </rPh>
    <phoneticPr fontId="4"/>
  </si>
  <si>
    <t>１０人乗りワゴン３台</t>
    <rPh sb="2" eb="3">
      <t>ニン</t>
    </rPh>
    <rPh sb="3" eb="4">
      <t>ノ</t>
    </rPh>
    <rPh sb="9" eb="10">
      <t>ダイ</t>
    </rPh>
    <phoneticPr fontId="4"/>
  </si>
  <si>
    <t>トラクター６台</t>
    <rPh sb="6" eb="7">
      <t>ダイ</t>
    </rPh>
    <phoneticPr fontId="4"/>
  </si>
  <si>
    <t>１０００L　</t>
    <phoneticPr fontId="4"/>
  </si>
  <si>
    <t>台</t>
    <rPh sb="0" eb="1">
      <t>ダイ</t>
    </rPh>
    <phoneticPr fontId="4"/>
  </si>
  <si>
    <t>軽トラック</t>
    <rPh sb="0" eb="1">
      <t>ケイ</t>
    </rPh>
    <phoneticPr fontId="4"/>
  </si>
  <si>
    <t>　</t>
    <phoneticPr fontId="4"/>
  </si>
  <si>
    <t>堆肥</t>
    <rPh sb="0" eb="2">
      <t>タイヒ</t>
    </rPh>
    <phoneticPr fontId="4"/>
  </si>
  <si>
    <t>15種類</t>
    <rPh sb="2" eb="4">
      <t>シュルイ</t>
    </rPh>
    <phoneticPr fontId="4"/>
  </si>
  <si>
    <t>１２種類</t>
    <rPh sb="2" eb="4">
      <t>シュルイ</t>
    </rPh>
    <phoneticPr fontId="4"/>
  </si>
  <si>
    <t>１種類</t>
    <rPh sb="1" eb="3">
      <t>シュルイ</t>
    </rPh>
    <phoneticPr fontId="4"/>
  </si>
  <si>
    <t>市場出荷　販売額×１１％</t>
    <rPh sb="0" eb="2">
      <t>シジョウ</t>
    </rPh>
    <rPh sb="2" eb="4">
      <t>シュッカ</t>
    </rPh>
    <phoneticPr fontId="4"/>
  </si>
  <si>
    <t>ミツバチ３０００円</t>
    <rPh sb="8" eb="9">
      <t>エン</t>
    </rPh>
    <phoneticPr fontId="4"/>
  </si>
  <si>
    <t>あきづき，甘太</t>
    <rPh sb="5" eb="6">
      <t>アマ</t>
    </rPh>
    <rPh sb="6" eb="7">
      <t>タ</t>
    </rPh>
    <phoneticPr fontId="4"/>
  </si>
  <si>
    <t>あきづき，甘太の市場販売単価試算</t>
    <rPh sb="5" eb="6">
      <t>アマ</t>
    </rPh>
    <rPh sb="6" eb="7">
      <t>フト</t>
    </rPh>
    <rPh sb="8" eb="10">
      <t>シジョウ</t>
    </rPh>
    <rPh sb="10" eb="12">
      <t>ハンバイ</t>
    </rPh>
    <rPh sb="12" eb="14">
      <t>タンカ</t>
    </rPh>
    <rPh sb="14" eb="16">
      <t>シサン</t>
    </rPh>
    <phoneticPr fontId="4"/>
  </si>
  <si>
    <t>あきづき</t>
    <phoneticPr fontId="4"/>
  </si>
  <si>
    <t>甘太</t>
    <rPh sb="0" eb="1">
      <t>アマ</t>
    </rPh>
    <rPh sb="1" eb="2">
      <t>タ</t>
    </rPh>
    <phoneticPr fontId="4"/>
  </si>
  <si>
    <t>新高を参考に算出</t>
    <rPh sb="0" eb="2">
      <t>ニイタカ</t>
    </rPh>
    <rPh sb="3" eb="5">
      <t>サンコウ</t>
    </rPh>
    <rPh sb="6" eb="8">
      <t>サンシュツ</t>
    </rPh>
    <phoneticPr fontId="4"/>
  </si>
  <si>
    <t>あけみず</t>
    <phoneticPr fontId="4"/>
  </si>
  <si>
    <t>九州産　‘幸水’を参考に算出</t>
    <rPh sb="0" eb="2">
      <t>キュウシュウ</t>
    </rPh>
    <rPh sb="2" eb="3">
      <t>サン</t>
    </rPh>
    <rPh sb="4" eb="8">
      <t>コウスイ</t>
    </rPh>
    <rPh sb="9" eb="11">
      <t>サンコウ</t>
    </rPh>
    <rPh sb="12" eb="14">
      <t>サンシュツ</t>
    </rPh>
    <phoneticPr fontId="4"/>
  </si>
  <si>
    <t>一人当たり</t>
    <rPh sb="0" eb="2">
      <t>ヒトリ</t>
    </rPh>
    <rPh sb="2" eb="3">
      <t>ア</t>
    </rPh>
    <phoneticPr fontId="4"/>
  </si>
  <si>
    <t>軽トラック５台</t>
    <rPh sb="0" eb="1">
      <t>ケイ</t>
    </rPh>
    <rPh sb="6" eb="7">
      <t>ダイ</t>
    </rPh>
    <phoneticPr fontId="4"/>
  </si>
  <si>
    <t>地場販売比率を33％とした場合の単価の設定</t>
    <rPh sb="0" eb="2">
      <t>ジバ</t>
    </rPh>
    <rPh sb="2" eb="4">
      <t>ハンバイ</t>
    </rPh>
    <rPh sb="4" eb="6">
      <t>ヒリツ</t>
    </rPh>
    <rPh sb="13" eb="15">
      <t>バアイ</t>
    </rPh>
    <rPh sb="16" eb="18">
      <t>タンカ</t>
    </rPh>
    <rPh sb="19" eb="21">
      <t>セッテイ</t>
    </rPh>
    <phoneticPr fontId="4"/>
  </si>
  <si>
    <t>支払利息</t>
    <rPh sb="0" eb="2">
      <t>シハライ</t>
    </rPh>
    <rPh sb="2" eb="4">
      <t>リソク</t>
    </rPh>
    <phoneticPr fontId="4"/>
  </si>
  <si>
    <t>借入残高</t>
    <rPh sb="0" eb="2">
      <t>カリイレ</t>
    </rPh>
    <rPh sb="2" eb="4">
      <t>ザンダカ</t>
    </rPh>
    <phoneticPr fontId="4"/>
  </si>
  <si>
    <t>資本装備の１/２を想定</t>
    <rPh sb="0" eb="2">
      <t>シホン</t>
    </rPh>
    <rPh sb="2" eb="4">
      <t>ソウビ</t>
    </rPh>
    <rPh sb="9" eb="11">
      <t>ソウテイ</t>
    </rPh>
    <phoneticPr fontId="4"/>
  </si>
  <si>
    <t>金利を２％とする。</t>
    <rPh sb="0" eb="2">
      <t>キンリ</t>
    </rPh>
    <phoneticPr fontId="4"/>
  </si>
  <si>
    <t>支払消費税</t>
    <rPh sb="0" eb="2">
      <t>シハライ</t>
    </rPh>
    <rPh sb="2" eb="5">
      <t>ショウヒゼイ</t>
    </rPh>
    <phoneticPr fontId="4"/>
  </si>
  <si>
    <t>合　　　　計</t>
    <rPh sb="0" eb="1">
      <t>ア</t>
    </rPh>
    <rPh sb="5" eb="6">
      <t>ケイ</t>
    </rPh>
    <phoneticPr fontId="4"/>
  </si>
  <si>
    <t>営業損益</t>
    <rPh sb="0" eb="2">
      <t>エイギョウ</t>
    </rPh>
    <rPh sb="2" eb="4">
      <t>ソンエキ</t>
    </rPh>
    <phoneticPr fontId="4"/>
  </si>
  <si>
    <t>売上原価</t>
    <rPh sb="0" eb="2">
      <t>ウリアゲ</t>
    </rPh>
    <rPh sb="2" eb="4">
      <t>ゲンカ</t>
    </rPh>
    <phoneticPr fontId="4"/>
  </si>
  <si>
    <t>労務費Ⅰ</t>
    <rPh sb="0" eb="3">
      <t>ロウムヒ</t>
    </rPh>
    <phoneticPr fontId="4"/>
  </si>
  <si>
    <t>給料手当</t>
    <rPh sb="0" eb="2">
      <t>キュウリョウ</t>
    </rPh>
    <rPh sb="2" eb="4">
      <t>テアテ</t>
    </rPh>
    <phoneticPr fontId="4"/>
  </si>
  <si>
    <t>管理
委託料</t>
    <rPh sb="0" eb="2">
      <t>カンリ</t>
    </rPh>
    <rPh sb="3" eb="6">
      <t>イタクリョウ</t>
    </rPh>
    <phoneticPr fontId="4"/>
  </si>
  <si>
    <t>水管理</t>
    <rPh sb="0" eb="1">
      <t>ミズ</t>
    </rPh>
    <rPh sb="1" eb="3">
      <t>カンリ</t>
    </rPh>
    <phoneticPr fontId="4"/>
  </si>
  <si>
    <t>畦畔管理</t>
    <rPh sb="0" eb="1">
      <t>ケイ</t>
    </rPh>
    <rPh sb="1" eb="2">
      <t>ハン</t>
    </rPh>
    <rPh sb="2" eb="4">
      <t>カンリ</t>
    </rPh>
    <phoneticPr fontId="4"/>
  </si>
  <si>
    <t>売上総利益　③=①-②</t>
    <rPh sb="0" eb="2">
      <t>ウリアゲ</t>
    </rPh>
    <rPh sb="2" eb="5">
      <t>ソウリエキ</t>
    </rPh>
    <phoneticPr fontId="4"/>
  </si>
  <si>
    <t>役員報酬</t>
    <rPh sb="0" eb="2">
      <t>ヤクイン</t>
    </rPh>
    <rPh sb="2" eb="4">
      <t>ホウシュウ</t>
    </rPh>
    <phoneticPr fontId="4"/>
  </si>
  <si>
    <t>労務費Ⅱ</t>
    <rPh sb="0" eb="3">
      <t>ロウムヒ</t>
    </rPh>
    <phoneticPr fontId="4"/>
  </si>
  <si>
    <t>会議費・旅費・研修費</t>
    <rPh sb="0" eb="3">
      <t>カイギヒ</t>
    </rPh>
    <rPh sb="4" eb="6">
      <t>リョヒ</t>
    </rPh>
    <rPh sb="7" eb="10">
      <t>ケンシュウヒ</t>
    </rPh>
    <phoneticPr fontId="4"/>
  </si>
  <si>
    <t>交際費等 雑費</t>
    <rPh sb="0" eb="3">
      <t>コウサイヒ</t>
    </rPh>
    <rPh sb="3" eb="4">
      <t>トウ</t>
    </rPh>
    <rPh sb="5" eb="7">
      <t>ザッピ</t>
    </rPh>
    <phoneticPr fontId="4"/>
  </si>
  <si>
    <t>販売費・一般管理費　計　④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</si>
  <si>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営業利益　⑤=③-④　</t>
    <rPh sb="0" eb="2">
      <t>エイギョウ</t>
    </rPh>
    <rPh sb="2" eb="4">
      <t>リエキ</t>
    </rPh>
    <phoneticPr fontId="4"/>
  </si>
  <si>
    <t>営業外損益</t>
    <rPh sb="0" eb="3">
      <t>エイギョウガイ</t>
    </rPh>
    <rPh sb="3" eb="5">
      <t>ソンエキ</t>
    </rPh>
    <phoneticPr fontId="4"/>
  </si>
  <si>
    <t>営業外収益　⑥</t>
    <rPh sb="0" eb="3">
      <t>エイギョウガイ</t>
    </rPh>
    <rPh sb="3" eb="5">
      <t>シュウエキ</t>
    </rPh>
    <phoneticPr fontId="4"/>
  </si>
  <si>
    <t>助成金・補助金・交付金</t>
    <rPh sb="0" eb="3">
      <t>ジョセイキン</t>
    </rPh>
    <rPh sb="4" eb="7">
      <t>ホジョキン</t>
    </rPh>
    <rPh sb="8" eb="11">
      <t>コウフキン</t>
    </rPh>
    <phoneticPr fontId="4"/>
  </si>
  <si>
    <t>価格補てん金</t>
    <rPh sb="0" eb="2">
      <t>カカク</t>
    </rPh>
    <rPh sb="2" eb="3">
      <t>ホ</t>
    </rPh>
    <rPh sb="5" eb="6">
      <t>キン</t>
    </rPh>
    <phoneticPr fontId="4"/>
  </si>
  <si>
    <t>雑収入</t>
    <rPh sb="0" eb="3">
      <t>ザッシュウニュウ</t>
    </rPh>
    <phoneticPr fontId="4"/>
  </si>
  <si>
    <t>営業外費用Ⅰ</t>
    <rPh sb="0" eb="3">
      <t>エイギョウガイ</t>
    </rPh>
    <rPh sb="3" eb="5">
      <t>ヒヨウ</t>
    </rPh>
    <phoneticPr fontId="4"/>
  </si>
  <si>
    <t>雑損失</t>
    <rPh sb="0" eb="2">
      <t>ザッソン</t>
    </rPh>
    <rPh sb="2" eb="3">
      <t>シツ</t>
    </rPh>
    <phoneticPr fontId="4"/>
  </si>
  <si>
    <t>営業外損益　計　⑧=⑥-⑦</t>
    <rPh sb="0" eb="3">
      <t>エイギョウガイ</t>
    </rPh>
    <rPh sb="3" eb="5">
      <t>ソンエキ</t>
    </rPh>
    <rPh sb="6" eb="7">
      <t>ケイ</t>
    </rPh>
    <phoneticPr fontId="4"/>
  </si>
  <si>
    <t>経常利益　⑨=⑤+⑧</t>
    <rPh sb="0" eb="2">
      <t>ケイジョウ</t>
    </rPh>
    <rPh sb="2" eb="4">
      <t>リエキ</t>
    </rPh>
    <phoneticPr fontId="4"/>
  </si>
  <si>
    <t>法定福利費　等</t>
    <phoneticPr fontId="4"/>
  </si>
  <si>
    <t>営業外費用　⑦</t>
    <phoneticPr fontId="4"/>
  </si>
  <si>
    <t>構成員賃金　</t>
    <rPh sb="0" eb="3">
      <t>コウセイイン</t>
    </rPh>
    <rPh sb="3" eb="5">
      <t>チンギン</t>
    </rPh>
    <phoneticPr fontId="4"/>
  </si>
  <si>
    <t>年間雇用賃金</t>
    <rPh sb="0" eb="2">
      <t>ネンカン</t>
    </rPh>
    <rPh sb="2" eb="4">
      <t>コヨウ</t>
    </rPh>
    <rPh sb="4" eb="6">
      <t>チンギン</t>
    </rPh>
    <phoneticPr fontId="4"/>
  </si>
  <si>
    <t>臨時雇用賃金</t>
    <rPh sb="0" eb="2">
      <t>リンジ</t>
    </rPh>
    <rPh sb="2" eb="4">
      <t>コヨウ</t>
    </rPh>
    <rPh sb="4" eb="6">
      <t>チンギン</t>
    </rPh>
    <rPh sb="5" eb="6">
      <t>ロウチン</t>
    </rPh>
    <phoneticPr fontId="4"/>
  </si>
  <si>
    <t>組合長理事，専務理事の報酬</t>
    <rPh sb="0" eb="3">
      <t>クミアイチョウ</t>
    </rPh>
    <rPh sb="3" eb="5">
      <t>リジ</t>
    </rPh>
    <rPh sb="6" eb="8">
      <t>センム</t>
    </rPh>
    <rPh sb="8" eb="10">
      <t>リジ</t>
    </rPh>
    <rPh sb="11" eb="13">
      <t>ホウシュウ</t>
    </rPh>
    <phoneticPr fontId="4"/>
  </si>
  <si>
    <t>果実１ｋｇ当たりの売上原価</t>
    <rPh sb="0" eb="2">
      <t>カジツ</t>
    </rPh>
    <rPh sb="5" eb="6">
      <t>ア</t>
    </rPh>
    <rPh sb="9" eb="11">
      <t>ウリアゲ</t>
    </rPh>
    <rPh sb="11" eb="13">
      <t>ゲンカ</t>
    </rPh>
    <phoneticPr fontId="4"/>
  </si>
  <si>
    <t>果実１ｋｇ当たりの経費</t>
    <rPh sb="0" eb="2">
      <t>カジツ</t>
    </rPh>
    <rPh sb="5" eb="6">
      <t>ア</t>
    </rPh>
    <rPh sb="9" eb="11">
      <t>ケイヒ</t>
    </rPh>
    <phoneticPr fontId="4"/>
  </si>
  <si>
    <t>あけみず</t>
    <phoneticPr fontId="4"/>
  </si>
  <si>
    <t>幸水</t>
    <rPh sb="0" eb="2">
      <t>コウスイ</t>
    </rPh>
    <phoneticPr fontId="4"/>
  </si>
  <si>
    <t>豊水</t>
    <rPh sb="0" eb="2">
      <t>ホウスイ</t>
    </rPh>
    <phoneticPr fontId="4"/>
  </si>
  <si>
    <t>あきづき，甘太</t>
    <rPh sb="5" eb="6">
      <t>アマ</t>
    </rPh>
    <rPh sb="6" eb="7">
      <t>タ</t>
    </rPh>
    <phoneticPr fontId="4"/>
  </si>
  <si>
    <t>10a当たり収量(kg/10a）</t>
    <rPh sb="3" eb="4">
      <t>ア</t>
    </rPh>
    <rPh sb="6" eb="8">
      <t>シュウリョウ</t>
    </rPh>
    <phoneticPr fontId="4"/>
  </si>
  <si>
    <t>出荷量（ｔ）</t>
    <rPh sb="0" eb="2">
      <t>シュッカ</t>
    </rPh>
    <rPh sb="2" eb="3">
      <t>リョウ</t>
    </rPh>
    <phoneticPr fontId="4"/>
  </si>
  <si>
    <t>単価(円/kg）</t>
    <rPh sb="0" eb="2">
      <t>タンカ</t>
    </rPh>
    <rPh sb="3" eb="4">
      <t>エン</t>
    </rPh>
    <phoneticPr fontId="4"/>
  </si>
  <si>
    <t>あけみず，幸水，豊水，あきづき,甘太</t>
    <rPh sb="5" eb="7">
      <t>コウスイ</t>
    </rPh>
    <rPh sb="8" eb="10">
      <t>ホウスイ</t>
    </rPh>
    <rPh sb="16" eb="17">
      <t>アマ</t>
    </rPh>
    <rPh sb="17" eb="18">
      <t>フト</t>
    </rPh>
    <phoneticPr fontId="3"/>
  </si>
  <si>
    <t>地場販売比率1/3　市場販売比率2/3での販売単価</t>
    <rPh sb="0" eb="2">
      <t>ジバ</t>
    </rPh>
    <rPh sb="2" eb="4">
      <t>ハンバイ</t>
    </rPh>
    <rPh sb="4" eb="6">
      <t>ヒリツ</t>
    </rPh>
    <rPh sb="10" eb="12">
      <t>シジョウ</t>
    </rPh>
    <rPh sb="12" eb="14">
      <t>ハンバイ</t>
    </rPh>
    <rPh sb="14" eb="16">
      <t>ヒリツ</t>
    </rPh>
    <rPh sb="21" eb="23">
      <t>ハンバイ</t>
    </rPh>
    <rPh sb="23" eb="25">
      <t>タンカ</t>
    </rPh>
    <phoneticPr fontId="4"/>
  </si>
  <si>
    <t>９　単価の算出基礎（1kg当たり）</t>
    <rPh sb="2" eb="4">
      <t>タンカ</t>
    </rPh>
    <phoneticPr fontId="4"/>
  </si>
  <si>
    <t>構成員　賃金等合計</t>
    <rPh sb="0" eb="3">
      <t>コウセイイン</t>
    </rPh>
    <rPh sb="4" eb="6">
      <t>チンギン</t>
    </rPh>
    <rPh sb="6" eb="7">
      <t>トウ</t>
    </rPh>
    <rPh sb="7" eb="9">
      <t>ゴウケイ</t>
    </rPh>
    <phoneticPr fontId="4"/>
  </si>
  <si>
    <t>売り上げに占める構成員賃金比率</t>
    <rPh sb="0" eb="1">
      <t>ウ</t>
    </rPh>
    <rPh sb="2" eb="3">
      <t>ア</t>
    </rPh>
    <rPh sb="5" eb="6">
      <t>シ</t>
    </rPh>
    <rPh sb="8" eb="11">
      <t>コウセイイン</t>
    </rPh>
    <rPh sb="11" eb="13">
      <t>チンギン</t>
    </rPh>
    <rPh sb="13" eb="15">
      <t>ヒリツ</t>
    </rPh>
    <phoneticPr fontId="4"/>
  </si>
  <si>
    <t>テープナーテープ
ホッチキス</t>
    <phoneticPr fontId="4"/>
  </si>
  <si>
    <t>テープナー</t>
    <phoneticPr fontId="4"/>
  </si>
  <si>
    <t>(個）</t>
    <rPh sb="1" eb="2">
      <t>コ</t>
    </rPh>
    <phoneticPr fontId="4"/>
  </si>
  <si>
    <t>テープナーテープ</t>
    <phoneticPr fontId="4"/>
  </si>
  <si>
    <t>箱</t>
    <rPh sb="0" eb="1">
      <t>ハコ</t>
    </rPh>
    <phoneticPr fontId="4"/>
  </si>
  <si>
    <t>テープナーステープル</t>
    <phoneticPr fontId="4"/>
  </si>
  <si>
    <t>テープナー替刃</t>
    <rPh sb="5" eb="7">
      <t>カエバ</t>
    </rPh>
    <phoneticPr fontId="4"/>
  </si>
  <si>
    <t>枚</t>
    <rPh sb="0" eb="1">
      <t>マイ</t>
    </rPh>
    <phoneticPr fontId="4"/>
  </si>
  <si>
    <t>１０アール当たり</t>
    <rPh sb="5" eb="6">
      <t>ア</t>
    </rPh>
    <phoneticPr fontId="4"/>
  </si>
  <si>
    <t>取得価格</t>
    <rPh sb="0" eb="2">
      <t>シュトク</t>
    </rPh>
    <rPh sb="2" eb="4">
      <t>カカク</t>
    </rPh>
    <phoneticPr fontId="4"/>
  </si>
  <si>
    <t>圃場整備の自己負担分２００，０００円を１４年で償却する。</t>
    <rPh sb="0" eb="2">
      <t>ホジョウ</t>
    </rPh>
    <rPh sb="2" eb="4">
      <t>セイビ</t>
    </rPh>
    <rPh sb="5" eb="7">
      <t>ジコ</t>
    </rPh>
    <rPh sb="7" eb="9">
      <t>フタン</t>
    </rPh>
    <rPh sb="9" eb="10">
      <t>ブン</t>
    </rPh>
    <rPh sb="13" eb="18">
      <t>０００エン</t>
    </rPh>
    <rPh sb="21" eb="22">
      <t>ネン</t>
    </rPh>
    <rPh sb="23" eb="25">
      <t>ショウキャク</t>
    </rPh>
    <phoneticPr fontId="4"/>
  </si>
  <si>
    <t>役員報酬</t>
    <rPh sb="0" eb="2">
      <t>ヤクイン</t>
    </rPh>
    <rPh sb="2" eb="4">
      <t>ホウシュウ</t>
    </rPh>
    <phoneticPr fontId="4"/>
  </si>
  <si>
    <t>圃場整備の自己負担金２００，０００円/１０ａを繰延資産とし１４年で償却</t>
    <rPh sb="0" eb="2">
      <t>ホジョウ</t>
    </rPh>
    <rPh sb="2" eb="4">
      <t>セイビ</t>
    </rPh>
    <rPh sb="5" eb="7">
      <t>ジコ</t>
    </rPh>
    <rPh sb="7" eb="10">
      <t>フタンキン</t>
    </rPh>
    <rPh sb="17" eb="18">
      <t>エン</t>
    </rPh>
    <rPh sb="23" eb="25">
      <t>クリノベ</t>
    </rPh>
    <rPh sb="25" eb="27">
      <t>シサン</t>
    </rPh>
    <rPh sb="31" eb="32">
      <t>ネン</t>
    </rPh>
    <rPh sb="33" eb="35">
      <t>ショウキャク</t>
    </rPh>
    <phoneticPr fontId="4"/>
  </si>
  <si>
    <t>本則課税とする</t>
    <rPh sb="0" eb="2">
      <t>ホンソク</t>
    </rPh>
    <rPh sb="2" eb="4">
      <t>カゼイ</t>
    </rPh>
    <phoneticPr fontId="4"/>
  </si>
  <si>
    <t>販売管理部門　構成員給与　３名分　5,500,000円×３</t>
    <rPh sb="0" eb="2">
      <t>ハンバイ</t>
    </rPh>
    <rPh sb="2" eb="4">
      <t>カンリ</t>
    </rPh>
    <rPh sb="4" eb="6">
      <t>ブモン</t>
    </rPh>
    <rPh sb="7" eb="10">
      <t>コウセイイン</t>
    </rPh>
    <rPh sb="10" eb="12">
      <t>キュウヨ</t>
    </rPh>
    <rPh sb="14" eb="15">
      <t>メイ</t>
    </rPh>
    <rPh sb="15" eb="16">
      <t>ブン</t>
    </rPh>
    <rPh sb="26" eb="27">
      <t>エン</t>
    </rPh>
    <phoneticPr fontId="4"/>
  </si>
  <si>
    <t>生産部門従事者１５名　一人当たり5,500,000円</t>
    <rPh sb="0" eb="2">
      <t>セイサン</t>
    </rPh>
    <rPh sb="2" eb="4">
      <t>ブモン</t>
    </rPh>
    <rPh sb="4" eb="7">
      <t>ジュウジシャ</t>
    </rPh>
    <rPh sb="9" eb="10">
      <t>メイ</t>
    </rPh>
    <rPh sb="11" eb="13">
      <t>ヒトリ</t>
    </rPh>
    <rPh sb="13" eb="14">
      <t>ア</t>
    </rPh>
    <rPh sb="25" eb="26">
      <t>エン</t>
    </rPh>
    <phoneticPr fontId="4"/>
  </si>
  <si>
    <t>２０名　一人当たり賃金　3,200,000円</t>
    <rPh sb="2" eb="3">
      <t>メイ</t>
    </rPh>
    <rPh sb="4" eb="6">
      <t>ヒトリ</t>
    </rPh>
    <rPh sb="6" eb="7">
      <t>ア</t>
    </rPh>
    <rPh sb="9" eb="11">
      <t>チンギン</t>
    </rPh>
    <rPh sb="21" eb="22">
      <t>エン</t>
    </rPh>
    <phoneticPr fontId="4"/>
  </si>
  <si>
    <t>構成員２０名，従業員２０名　一人当たり150,000円</t>
    <phoneticPr fontId="4"/>
  </si>
  <si>
    <t>臨時雇用賃金　時給9００円　</t>
    <rPh sb="0" eb="2">
      <t>リンジ</t>
    </rPh>
    <rPh sb="2" eb="4">
      <t>コヨウ</t>
    </rPh>
    <rPh sb="4" eb="6">
      <t>チンギン</t>
    </rPh>
    <rPh sb="7" eb="9">
      <t>ジキュウ</t>
    </rPh>
    <rPh sb="12" eb="13">
      <t>エン</t>
    </rPh>
    <phoneticPr fontId="4"/>
  </si>
  <si>
    <t>農事組合法人　構成員　10戸20名，　年間常時雇用20名</t>
    <rPh sb="0" eb="2">
      <t>ノウジ</t>
    </rPh>
    <rPh sb="2" eb="4">
      <t>クミアイ</t>
    </rPh>
    <rPh sb="4" eb="6">
      <t>ホウジン</t>
    </rPh>
    <rPh sb="7" eb="10">
      <t>コウセイイン</t>
    </rPh>
    <rPh sb="13" eb="14">
      <t>コ</t>
    </rPh>
    <rPh sb="16" eb="17">
      <t>メイ</t>
    </rPh>
    <rPh sb="19" eb="21">
      <t>ネンカン</t>
    </rPh>
    <rPh sb="21" eb="23">
      <t>ジョウジ</t>
    </rPh>
    <rPh sb="23" eb="25">
      <t>コヨウ</t>
    </rPh>
    <rPh sb="27" eb="28">
      <t>メイ</t>
    </rPh>
    <phoneticPr fontId="3"/>
  </si>
  <si>
    <t>キャビン付スピードスプレーヤ，防霜ファン，LED防蛾灯</t>
    <rPh sb="4" eb="5">
      <t>ツキ</t>
    </rPh>
    <rPh sb="15" eb="16">
      <t>フセ</t>
    </rPh>
    <rPh sb="16" eb="17">
      <t>シモ</t>
    </rPh>
    <rPh sb="24" eb="25">
      <t>フセ</t>
    </rPh>
    <rPh sb="25" eb="26">
      <t>ガ</t>
    </rPh>
    <rPh sb="26" eb="27">
      <t>アカ</t>
    </rPh>
    <phoneticPr fontId="3"/>
  </si>
  <si>
    <t>共選・共販による市場出荷，直売，観光</t>
    <rPh sb="0" eb="2">
      <t>キョウセン</t>
    </rPh>
    <rPh sb="3" eb="5">
      <t>キョウハン</t>
    </rPh>
    <rPh sb="8" eb="10">
      <t>シジョウ</t>
    </rPh>
    <rPh sb="10" eb="12">
      <t>シュッカ</t>
    </rPh>
    <rPh sb="13" eb="15">
      <t>チョクバイ</t>
    </rPh>
    <rPh sb="16" eb="18">
      <t>カンコウ</t>
    </rPh>
    <phoneticPr fontId="3"/>
  </si>
  <si>
    <t>中部</t>
    <rPh sb="0" eb="2">
      <t>チュウブ</t>
    </rPh>
    <phoneticPr fontId="3"/>
  </si>
  <si>
    <t>３　標準技術（日本なし）</t>
    <rPh sb="2" eb="4">
      <t>ヒョウジュン</t>
    </rPh>
    <rPh sb="4" eb="6">
      <t>ギジュツ</t>
    </rPh>
    <rPh sb="7" eb="9">
      <t>ニホン</t>
    </rPh>
    <phoneticPr fontId="4"/>
  </si>
  <si>
    <t>あけみず，幸水，豊水，あきずき</t>
    <rPh sb="5" eb="7">
      <t>コウスイ</t>
    </rPh>
    <rPh sb="8" eb="10">
      <t>ホウスイ</t>
    </rPh>
    <phoneticPr fontId="4"/>
  </si>
  <si>
    <t>完熟出荷，非破壊赤外線センサーによる果肉障害の除去</t>
    <rPh sb="0" eb="2">
      <t>カンジュク</t>
    </rPh>
    <rPh sb="2" eb="4">
      <t>シュッカ</t>
    </rPh>
    <rPh sb="5" eb="8">
      <t>ヒハカイ</t>
    </rPh>
    <rPh sb="8" eb="11">
      <t>セキガイセン</t>
    </rPh>
    <rPh sb="18" eb="20">
      <t>カニク</t>
    </rPh>
    <rPh sb="20" eb="22">
      <t>ショウガイ</t>
    </rPh>
    <rPh sb="23" eb="25">
      <t>ジョキョ</t>
    </rPh>
    <phoneticPr fontId="4"/>
  </si>
  <si>
    <t>８　経費の算出基礎（日本なし，10a当たり）</t>
    <rPh sb="2" eb="4">
      <t>ケイヒ</t>
    </rPh>
    <rPh sb="5" eb="7">
      <t>サンシュツ</t>
    </rPh>
    <rPh sb="7" eb="9">
      <t>キソ</t>
    </rPh>
    <rPh sb="10" eb="12">
      <t>ニホン</t>
    </rPh>
    <rPh sb="18" eb="19">
      <t>ア</t>
    </rPh>
    <phoneticPr fontId="4"/>
  </si>
  <si>
    <t>フォークリフト２台</t>
    <rPh sb="8" eb="9">
      <t>ダイ</t>
    </rPh>
    <phoneticPr fontId="4"/>
  </si>
  <si>
    <t>スピードスプレーヤ８台</t>
    <rPh sb="10" eb="11">
      <t>ダイ</t>
    </rPh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</si>
  <si>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</si>
  <si>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負担面積(a)</t>
    <rPh sb="0" eb="2">
      <t>フタン</t>
    </rPh>
    <rPh sb="2" eb="4">
      <t>メンセキ</t>
    </rPh>
    <phoneticPr fontId="4"/>
  </si>
  <si>
    <t>月別平均価格の推移</t>
  </si>
  <si>
    <t>（全産地）</t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</si>
  <si>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</si>
  <si>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平均</t>
  </si>
  <si>
    <t>平　　均</t>
  </si>
  <si>
    <t>（広島県産）</t>
    <rPh sb="1" eb="5">
      <t>ヒロシマケンサン</t>
    </rPh>
    <phoneticPr fontId="4"/>
  </si>
  <si>
    <t>地場売り（６割）</t>
    <rPh sb="0" eb="2">
      <t>ジバ</t>
    </rPh>
    <rPh sb="2" eb="3">
      <t>ウ</t>
    </rPh>
    <rPh sb="6" eb="7">
      <t>ワリ</t>
    </rPh>
    <phoneticPr fontId="4"/>
  </si>
  <si>
    <t>平成22～24年（市場４割）</t>
    <rPh sb="9" eb="11">
      <t>シジョウ</t>
    </rPh>
    <rPh sb="12" eb="13">
      <t>ワリ</t>
    </rPh>
    <phoneticPr fontId="4"/>
  </si>
  <si>
    <t>あきづき</t>
    <phoneticPr fontId="4"/>
  </si>
  <si>
    <t>なし専作</t>
    <rPh sb="2" eb="3">
      <t>セン</t>
    </rPh>
    <rPh sb="3" eb="4">
      <t>サク</t>
    </rPh>
    <phoneticPr fontId="3"/>
  </si>
  <si>
    <t>露地</t>
    <rPh sb="0" eb="2">
      <t>ロジ</t>
    </rPh>
    <phoneticPr fontId="3"/>
  </si>
  <si>
    <t>12種類</t>
    <rPh sb="2" eb="4">
      <t>シュルイ</t>
    </rPh>
    <phoneticPr fontId="4"/>
  </si>
  <si>
    <t>10人乗りワゴン</t>
    <rPh sb="2" eb="3">
      <t>ニン</t>
    </rPh>
    <rPh sb="3" eb="4">
      <t>ノ</t>
    </rPh>
    <phoneticPr fontId="4"/>
  </si>
  <si>
    <t>1作業</t>
    <rPh sb="1" eb="3">
      <t>サギョウ</t>
    </rPh>
    <phoneticPr fontId="4"/>
  </si>
  <si>
    <t>2作業</t>
    <rPh sb="1" eb="3">
      <t>サギョウ</t>
    </rPh>
    <phoneticPr fontId="4"/>
  </si>
  <si>
    <t>12種類</t>
    <rPh sb="2" eb="4">
      <t>シュルイ</t>
    </rPh>
    <phoneticPr fontId="4"/>
  </si>
  <si>
    <t>1作業</t>
    <rPh sb="1" eb="3">
      <t>サギョウ</t>
    </rPh>
    <phoneticPr fontId="4"/>
  </si>
  <si>
    <t>2作業</t>
    <rPh sb="1" eb="3">
      <t>サギョウ</t>
    </rPh>
    <phoneticPr fontId="4"/>
  </si>
  <si>
    <t>8～9月</t>
    <rPh sb="3" eb="4">
      <t>ガツ</t>
    </rPh>
    <phoneticPr fontId="4"/>
  </si>
  <si>
    <t>1種類</t>
    <rPh sb="1" eb="3">
      <t>シュルイ</t>
    </rPh>
    <phoneticPr fontId="4"/>
  </si>
  <si>
    <t>3作業</t>
    <rPh sb="1" eb="3">
      <t>サギョウ</t>
    </rPh>
    <phoneticPr fontId="4"/>
  </si>
  <si>
    <t>3作業</t>
    <rPh sb="1" eb="3">
      <t>サギョウ</t>
    </rPh>
    <phoneticPr fontId="4"/>
  </si>
  <si>
    <t>一般法人</t>
    <rPh sb="0" eb="2">
      <t>イッパン</t>
    </rPh>
    <rPh sb="2" eb="4">
      <t>ホウジン</t>
    </rPh>
    <phoneticPr fontId="3"/>
  </si>
  <si>
    <t>ジョイント仕立てによる等間隔での側枝配置
主枝先端管理の省力化
テープナーを用いた誘引</t>
    <rPh sb="5" eb="7">
      <t>ジタ</t>
    </rPh>
    <rPh sb="11" eb="14">
      <t>トウカンカク</t>
    </rPh>
    <rPh sb="16" eb="17">
      <t>ソク</t>
    </rPh>
    <rPh sb="17" eb="18">
      <t>エダ</t>
    </rPh>
    <rPh sb="18" eb="20">
      <t>ハイチ</t>
    </rPh>
    <rPh sb="21" eb="22">
      <t>オモ</t>
    </rPh>
    <rPh sb="22" eb="23">
      <t>エダ</t>
    </rPh>
    <rPh sb="23" eb="25">
      <t>センタン</t>
    </rPh>
    <rPh sb="25" eb="27">
      <t>カンリ</t>
    </rPh>
    <rPh sb="28" eb="30">
      <t>ショウリョク</t>
    </rPh>
    <rPh sb="30" eb="31">
      <t>カ</t>
    </rPh>
    <rPh sb="38" eb="39">
      <t>モチ</t>
    </rPh>
    <rPh sb="41" eb="43">
      <t>ユウイン</t>
    </rPh>
    <phoneticPr fontId="4"/>
  </si>
  <si>
    <t>労務費の12.4%</t>
    <rPh sb="0" eb="2">
      <t>ロウム</t>
    </rPh>
    <rPh sb="2" eb="3">
      <t>ヒ</t>
    </rPh>
    <phoneticPr fontId="4"/>
  </si>
  <si>
    <t>販売管理部門　労賃　報酬の12.4％</t>
    <rPh sb="0" eb="2">
      <t>ハンバイ</t>
    </rPh>
    <rPh sb="2" eb="4">
      <t>カンリ</t>
    </rPh>
    <rPh sb="4" eb="6">
      <t>ブモン</t>
    </rPh>
    <rPh sb="7" eb="9">
      <t>ロウチン</t>
    </rPh>
    <rPh sb="10" eb="12">
      <t>ホウシュウ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</si>
  <si>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</si>
  <si>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圃場整備の自己負担分200,000円を14年で償却する。</t>
    <rPh sb="0" eb="2">
      <t>ホジョウ</t>
    </rPh>
    <rPh sb="2" eb="4">
      <t>セイビ</t>
    </rPh>
    <rPh sb="5" eb="7">
      <t>ジコ</t>
    </rPh>
    <rPh sb="7" eb="9">
      <t>フタン</t>
    </rPh>
    <rPh sb="9" eb="10">
      <t>ブン</t>
    </rPh>
    <rPh sb="17" eb="18">
      <t>エン</t>
    </rPh>
    <rPh sb="21" eb="22">
      <t>ネン</t>
    </rPh>
    <rPh sb="23" eb="25">
      <t>ショウキャク</t>
    </rPh>
    <phoneticPr fontId="4"/>
  </si>
  <si>
    <t>販売量×　24.47円</t>
    <rPh sb="10" eb="11">
      <t>エン</t>
    </rPh>
    <phoneticPr fontId="4"/>
  </si>
  <si>
    <t>市場出荷販売量×　7.7円</t>
    <rPh sb="0" eb="2">
      <t>シジョウ</t>
    </rPh>
    <rPh sb="2" eb="4">
      <t>シュッカ</t>
    </rPh>
    <rPh sb="12" eb="13">
      <t>エン</t>
    </rPh>
    <phoneticPr fontId="4"/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</si>
  <si>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</si>
  <si>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a</t>
    <phoneticPr fontId="4"/>
  </si>
  <si>
    <t>a</t>
    <phoneticPr fontId="4"/>
  </si>
  <si>
    <t>建物・施設</t>
    <rPh sb="0" eb="2">
      <t>タテモノ</t>
    </rPh>
    <rPh sb="3" eb="5">
      <t>シセツ</t>
    </rPh>
    <phoneticPr fontId="4"/>
  </si>
  <si>
    <t>支払利息　総資産の半額が借入で賄われていることとし２％の金利で計算(販売額で案分）</t>
    <rPh sb="0" eb="2">
      <t>シハライ</t>
    </rPh>
    <rPh sb="2" eb="4">
      <t>リソク</t>
    </rPh>
    <rPh sb="5" eb="8">
      <t>ソウシサン</t>
    </rPh>
    <rPh sb="9" eb="11">
      <t>ハンガク</t>
    </rPh>
    <rPh sb="12" eb="14">
      <t>カリイレ</t>
    </rPh>
    <rPh sb="15" eb="16">
      <t>マカナ</t>
    </rPh>
    <rPh sb="28" eb="30">
      <t>キンリ</t>
    </rPh>
    <rPh sb="31" eb="33">
      <t>ケイサン</t>
    </rPh>
    <rPh sb="34" eb="36">
      <t>ハンバイ</t>
    </rPh>
    <rPh sb="36" eb="37">
      <t>ガク</t>
    </rPh>
    <rPh sb="38" eb="40">
      <t>アンブン</t>
    </rPh>
    <phoneticPr fontId="4"/>
  </si>
  <si>
    <t>右表（イ）　</t>
    <phoneticPr fontId="4"/>
  </si>
  <si>
    <t>右表（ウ）　</t>
    <phoneticPr fontId="4"/>
  </si>
  <si>
    <t>右表（エ）　</t>
    <phoneticPr fontId="4"/>
  </si>
  <si>
    <t>耐用年数</t>
    <phoneticPr fontId="4"/>
  </si>
  <si>
    <t>５-１　作業別・旬別作業時間（１０ａ当たり）</t>
    <phoneticPr fontId="4"/>
  </si>
  <si>
    <t>５-２　作業別・旬別作業時間（１０ａ当たり）</t>
    <phoneticPr fontId="4"/>
  </si>
  <si>
    <t>５-３　作業別・旬別作業時間（１０ａ当たり）</t>
    <phoneticPr fontId="4"/>
  </si>
  <si>
    <t>５-４　作業別・旬別作業時間（１０ａ当たり）</t>
    <phoneticPr fontId="4"/>
  </si>
  <si>
    <t>７-１　経営収支（10a当たり）</t>
    <rPh sb="12" eb="13">
      <t>ア</t>
    </rPh>
    <phoneticPr fontId="4"/>
  </si>
  <si>
    <t>７-２　経営収支（10a当たり）</t>
    <rPh sb="12" eb="13">
      <t>ア</t>
    </rPh>
    <phoneticPr fontId="4"/>
  </si>
  <si>
    <t>７-３　経営収支（10a当たり）</t>
    <rPh sb="12" eb="13">
      <t>ア</t>
    </rPh>
    <phoneticPr fontId="4"/>
  </si>
  <si>
    <t>７-４　経営収支（10a当たり）</t>
    <rPh sb="12" eb="13">
      <t>ア</t>
    </rPh>
    <phoneticPr fontId="4"/>
  </si>
  <si>
    <t>９-１　単価の算出基礎（あけみず，1kg当たり）</t>
    <rPh sb="4" eb="6">
      <t>タンカ</t>
    </rPh>
    <phoneticPr fontId="4"/>
  </si>
  <si>
    <t>９-２　単価の算出基礎（幸水，1kg当たり）</t>
    <rPh sb="4" eb="6">
      <t>タンカ</t>
    </rPh>
    <rPh sb="12" eb="14">
      <t>コウスイ</t>
    </rPh>
    <phoneticPr fontId="4"/>
  </si>
  <si>
    <t>９-３　単価の算出基礎（豊水，1kg当たり）</t>
    <rPh sb="4" eb="6">
      <t>タンカ</t>
    </rPh>
    <rPh sb="12" eb="14">
      <t>ホウスイ</t>
    </rPh>
    <phoneticPr fontId="4"/>
  </si>
  <si>
    <t>９-４　単価の算出基礎（あきづき，1kg当たり）</t>
    <rPh sb="4" eb="6">
      <t>タンカ</t>
    </rPh>
    <phoneticPr fontId="4"/>
  </si>
  <si>
    <t>品種</t>
    <rPh sb="0" eb="2">
      <t>ヒンシュ</t>
    </rPh>
    <phoneticPr fontId="4"/>
  </si>
  <si>
    <t>40人</t>
    <rPh sb="2" eb="3">
      <t>ニン</t>
    </rPh>
    <phoneticPr fontId="3"/>
  </si>
  <si>
    <t>石灰質肥料</t>
    <rPh sb="0" eb="3">
      <t>セッカイシツ</t>
    </rPh>
    <rPh sb="3" eb="5">
      <t>ヒリョウ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</si>
  <si>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</si>
  <si>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</si>
  <si>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</si>
  <si>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</si>
  <si>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</si>
  <si>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</si>
  <si>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</si>
  <si>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</si>
  <si>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</si>
  <si>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</si>
  <si>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</si>
  <si>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</si>
  <si>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</si>
  <si>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O</t>
    <phoneticPr fontId="4"/>
  </si>
  <si>
    <t>N</t>
    <phoneticPr fontId="4"/>
  </si>
  <si>
    <t>A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</si>
</sst>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00&quot;a&quot;"/>
    <numFmt numFmtId="185" formatCode="0_ "/>
    <numFmt numFmtId="186" formatCode="#,##0.00_);[Red]\(#,##0.00\)"/>
    <numFmt numFmtId="187" formatCode="#,##0.00;&quot;▲ &quot;#,##0.00"/>
    <numFmt numFmtId="188" formatCode="0.000_);[Red]\(0.00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36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3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877">
    <xf numFmtId="0" fontId="0" fillId="0" borderId="0" xfId="0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5" fillId="0" borderId="87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76" fontId="0" fillId="0" borderId="87" xfId="0" applyNumberForma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181" fontId="0" fillId="0" borderId="40" xfId="0" applyNumberFormat="1" applyFont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9" fillId="0" borderId="40" xfId="0" applyFont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71" xfId="0" applyNumberFormat="1" applyFont="1" applyBorder="1" applyAlignment="1">
      <alignment horizontal="center" vertical="center" shrinkToFit="1"/>
    </xf>
    <xf numFmtId="176" fontId="0" fillId="0" borderId="87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2" xfId="0" applyNumberFormat="1" applyFont="1" applyBorder="1" applyAlignment="1">
      <alignment horizontal="center" vertical="center" shrinkToFit="1"/>
    </xf>
    <xf numFmtId="176" fontId="0" fillId="0" borderId="83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6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87" xfId="2" applyFont="1" applyBorder="1" applyAlignment="1">
      <alignment vertical="center" wrapText="1"/>
    </xf>
    <xf numFmtId="0" fontId="8" fillId="0" borderId="74" xfId="2" applyFont="1" applyBorder="1" applyAlignment="1">
      <alignment vertical="center" wrapText="1"/>
    </xf>
    <xf numFmtId="0" fontId="1" fillId="0" borderId="87" xfId="2" applyFont="1" applyBorder="1" applyAlignment="1">
      <alignment horizontal="center" vertical="center" wrapText="1"/>
    </xf>
    <xf numFmtId="0" fontId="8" fillId="0" borderId="74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/>
    </xf>
    <xf numFmtId="0" fontId="8" fillId="0" borderId="87" xfId="2" applyFont="1" applyBorder="1" applyAlignment="1">
      <alignment horizontal="right" vertical="center" wrapText="1"/>
    </xf>
    <xf numFmtId="0" fontId="1" fillId="0" borderId="74" xfId="2" applyFont="1" applyBorder="1" applyAlignment="1">
      <alignment horizontal="center" vertical="center" wrapText="1"/>
    </xf>
    <xf numFmtId="0" fontId="8" fillId="0" borderId="112" xfId="2" applyFont="1" applyBorder="1" applyAlignment="1">
      <alignment vertical="center" wrapText="1"/>
    </xf>
    <xf numFmtId="0" fontId="8" fillId="0" borderId="112" xfId="2" applyFont="1" applyBorder="1" applyAlignment="1">
      <alignment horizontal="right" vertical="center" wrapText="1"/>
    </xf>
    <xf numFmtId="0" fontId="1" fillId="0" borderId="112" xfId="2" applyFont="1" applyBorder="1" applyAlignment="1">
      <alignment horizontal="center" vertical="center" wrapText="1"/>
    </xf>
    <xf numFmtId="0" fontId="1" fillId="0" borderId="113" xfId="2" applyFont="1" applyBorder="1" applyAlignment="1">
      <alignment horizontal="center" vertical="center" wrapText="1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8" fillId="0" borderId="23" xfId="2" applyFont="1" applyBorder="1" applyAlignment="1">
      <alignment horizontal="right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50" xfId="2" applyFont="1" applyBorder="1" applyAlignment="1">
      <alignment horizontal="center" vertical="center" wrapText="1"/>
    </xf>
    <xf numFmtId="0" fontId="1" fillId="0" borderId="117" xfId="2" applyFont="1" applyBorder="1" applyAlignment="1">
      <alignment horizontal="center" vertical="center" wrapText="1"/>
    </xf>
    <xf numFmtId="0" fontId="1" fillId="0" borderId="118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left" vertical="center" wrapText="1"/>
    </xf>
    <xf numFmtId="0" fontId="1" fillId="0" borderId="16" xfId="2" applyFont="1" applyBorder="1" applyAlignment="1">
      <alignment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16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58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09" xfId="0" applyNumberFormat="1" applyFont="1" applyFill="1" applyBorder="1" applyAlignment="1">
      <alignment vertical="center" shrinkToFit="1"/>
    </xf>
    <xf numFmtId="178" fontId="0" fillId="2" borderId="109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3" applyNumberFormat="1" applyFont="1" applyBorder="1" applyAlignment="1">
      <alignment horizontal="right" vertical="center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7" xfId="0" applyNumberFormat="1" applyFont="1" applyFill="1" applyBorder="1" applyAlignment="1">
      <alignment vertical="center"/>
    </xf>
    <xf numFmtId="177" fontId="0" fillId="0" borderId="87" xfId="0" applyNumberFormat="1" applyFont="1" applyBorder="1" applyAlignment="1">
      <alignment vertical="center" shrinkToFit="1"/>
    </xf>
    <xf numFmtId="176" fontId="0" fillId="0" borderId="111" xfId="0" applyNumberFormat="1" applyFont="1" applyBorder="1" applyAlignment="1">
      <alignment horizontal="center" vertical="center" shrinkToFit="1"/>
    </xf>
    <xf numFmtId="176" fontId="0" fillId="0" borderId="74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09" xfId="0" applyNumberFormat="1" applyFont="1" applyFill="1" applyBorder="1" applyAlignment="1">
      <alignment vertical="center" shrinkToFit="1"/>
    </xf>
    <xf numFmtId="176" fontId="0" fillId="2" borderId="121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2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0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6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76" fontId="0" fillId="6" borderId="121" xfId="0" applyNumberFormat="1" applyFont="1" applyFill="1" applyBorder="1" applyAlignment="1">
      <alignment vertical="center" shrinkToFit="1"/>
    </xf>
    <xf numFmtId="176" fontId="0" fillId="6" borderId="113" xfId="0" applyNumberFormat="1" applyFont="1" applyFill="1" applyBorder="1" applyAlignment="1">
      <alignment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6" borderId="109" xfId="0" applyNumberFormat="1" applyFont="1" applyFill="1" applyBorder="1" applyAlignment="1">
      <alignment vertical="center" shrinkToFit="1"/>
    </xf>
    <xf numFmtId="183" fontId="0" fillId="6" borderId="53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83" fontId="0" fillId="6" borderId="123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6" borderId="112" xfId="0" applyNumberFormat="1" applyFont="1" applyFill="1" applyBorder="1" applyAlignment="1">
      <alignment vertical="center" shrinkToFit="1"/>
    </xf>
    <xf numFmtId="183" fontId="0" fillId="6" borderId="131" xfId="0" applyNumberFormat="1" applyFont="1" applyFill="1" applyBorder="1" applyAlignment="1">
      <alignment vertical="center" shrinkToFit="1"/>
    </xf>
    <xf numFmtId="177" fontId="0" fillId="0" borderId="74" xfId="0" applyNumberFormat="1" applyFont="1" applyBorder="1" applyAlignment="1">
      <alignment vertical="center" shrinkToFit="1"/>
    </xf>
    <xf numFmtId="177" fontId="0" fillId="2" borderId="132" xfId="0" applyNumberFormat="1" applyFont="1" applyFill="1" applyBorder="1" applyAlignment="1">
      <alignment vertical="center" shrinkToFit="1"/>
    </xf>
    <xf numFmtId="177" fontId="0" fillId="2" borderId="112" xfId="0" applyNumberFormat="1" applyFont="1" applyFill="1" applyBorder="1" applyAlignment="1">
      <alignment vertical="center" shrinkToFit="1"/>
    </xf>
    <xf numFmtId="177" fontId="0" fillId="2" borderId="113" xfId="0" applyNumberFormat="1" applyFont="1" applyFill="1" applyBorder="1" applyAlignment="1">
      <alignment vertical="center" shrinkToFit="1"/>
    </xf>
    <xf numFmtId="177" fontId="0" fillId="2" borderId="123" xfId="0" applyNumberFormat="1" applyFont="1" applyFill="1" applyBorder="1" applyAlignment="1">
      <alignment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40" xfId="0" applyNumberFormat="1" applyFill="1" applyBorder="1" applyAlignment="1">
      <alignment vertical="center"/>
    </xf>
    <xf numFmtId="177" fontId="0" fillId="6" borderId="141" xfId="0" applyNumberFormat="1" applyFont="1" applyFill="1" applyBorder="1" applyAlignment="1">
      <alignment vertical="center" shrinkToFit="1"/>
    </xf>
    <xf numFmtId="177" fontId="0" fillId="0" borderId="141" xfId="3" applyNumberFormat="1" applyFont="1" applyBorder="1" applyAlignment="1">
      <alignment vertical="center"/>
    </xf>
    <xf numFmtId="177" fontId="0" fillId="0" borderId="106" xfId="3" applyNumberFormat="1" applyFont="1" applyBorder="1" applyAlignment="1">
      <alignment horizontal="right" vertical="center"/>
    </xf>
    <xf numFmtId="177" fontId="0" fillId="0" borderId="106" xfId="3" applyNumberFormat="1" applyFont="1" applyBorder="1" applyAlignment="1">
      <alignment horizontal="left" vertical="center" shrinkToFit="1"/>
    </xf>
    <xf numFmtId="177" fontId="0" fillId="0" borderId="142" xfId="0" applyNumberFormat="1" applyFont="1" applyBorder="1" applyAlignment="1">
      <alignment vertical="center"/>
    </xf>
    <xf numFmtId="177" fontId="0" fillId="0" borderId="143" xfId="0" applyNumberFormat="1" applyFont="1" applyBorder="1" applyAlignment="1">
      <alignment vertical="center"/>
    </xf>
    <xf numFmtId="177" fontId="0" fillId="0" borderId="144" xfId="0" applyNumberFormat="1" applyFont="1" applyBorder="1" applyAlignment="1">
      <alignment vertical="center"/>
    </xf>
    <xf numFmtId="177" fontId="0" fillId="0" borderId="140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7" fontId="0" fillId="0" borderId="143" xfId="3" applyNumberFormat="1" applyFont="1" applyBorder="1" applyAlignment="1">
      <alignment vertical="center" shrinkToFit="1"/>
    </xf>
    <xf numFmtId="177" fontId="0" fillId="0" borderId="143" xfId="0" applyNumberFormat="1" applyFont="1" applyFill="1" applyBorder="1" applyAlignment="1">
      <alignment vertical="center"/>
    </xf>
    <xf numFmtId="177" fontId="0" fillId="0" borderId="140" xfId="0" applyNumberFormat="1" applyFont="1" applyFill="1" applyBorder="1" applyAlignment="1">
      <alignment horizontal="center" vertical="center"/>
    </xf>
    <xf numFmtId="177" fontId="0" fillId="0" borderId="140" xfId="0" applyNumberFormat="1" applyFont="1" applyFill="1" applyBorder="1" applyAlignment="1">
      <alignment vertical="center"/>
    </xf>
    <xf numFmtId="177" fontId="0" fillId="0" borderId="143" xfId="0" applyNumberFormat="1" applyFill="1" applyBorder="1" applyAlignment="1">
      <alignment vertical="center"/>
    </xf>
    <xf numFmtId="178" fontId="0" fillId="0" borderId="140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4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7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50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50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44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140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3" xfId="0" applyNumberFormat="1" applyFont="1" applyFill="1" applyBorder="1" applyAlignment="1">
      <alignment horizontal="left" vertical="center"/>
    </xf>
    <xf numFmtId="177" fontId="0" fillId="0" borderId="143" xfId="3" applyNumberFormat="1" applyFont="1" applyFill="1" applyBorder="1" applyAlignment="1">
      <alignment vertical="center" shrinkToFit="1"/>
    </xf>
    <xf numFmtId="178" fontId="0" fillId="0" borderId="144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46" xfId="3" applyNumberFormat="1" applyFont="1" applyBorder="1" applyAlignment="1">
      <alignment horizontal="center" vertical="center" shrinkToFit="1"/>
    </xf>
    <xf numFmtId="177" fontId="0" fillId="0" borderId="75" xfId="3" applyNumberFormat="1" applyFont="1" applyBorder="1" applyAlignment="1">
      <alignment horizontal="center" vertical="center" shrinkToFit="1"/>
    </xf>
    <xf numFmtId="176" fontId="0" fillId="2" borderId="51" xfId="0" applyNumberFormat="1" applyFont="1" applyFill="1" applyBorder="1" applyAlignment="1">
      <alignment horizontal="center" vertical="center" shrinkToFit="1"/>
    </xf>
    <xf numFmtId="177" fontId="0" fillId="2" borderId="51" xfId="0" applyNumberFormat="1" applyFont="1" applyFill="1" applyBorder="1" applyAlignment="1">
      <alignment vertical="center" shrinkToFit="1"/>
    </xf>
    <xf numFmtId="177" fontId="0" fillId="0" borderId="151" xfId="3" applyNumberFormat="1" applyFont="1" applyBorder="1" applyAlignment="1">
      <alignment vertical="center" shrinkToFit="1"/>
    </xf>
    <xf numFmtId="176" fontId="0" fillId="0" borderId="151" xfId="0" applyNumberFormat="1" applyFont="1" applyBorder="1" applyAlignment="1">
      <alignment vertical="center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41" xfId="0" applyNumberFormat="1" applyFont="1" applyFill="1" applyBorder="1" applyAlignment="1">
      <alignment horizontal="center" vertical="center" shrinkToFit="1"/>
    </xf>
    <xf numFmtId="177" fontId="0" fillId="2" borderId="41" xfId="0" applyNumberFormat="1" applyFont="1" applyFill="1" applyBorder="1" applyAlignment="1">
      <alignment vertical="center" shrinkToFit="1"/>
    </xf>
    <xf numFmtId="176" fontId="0" fillId="2" borderId="149" xfId="0" applyNumberFormat="1" applyFont="1" applyFill="1" applyBorder="1" applyAlignment="1">
      <alignment vertical="center" shrinkToFit="1"/>
    </xf>
    <xf numFmtId="176" fontId="0" fillId="2" borderId="65" xfId="0" applyNumberFormat="1" applyFont="1" applyFill="1" applyBorder="1" applyAlignment="1">
      <alignment vertical="center" shrinkToFit="1"/>
    </xf>
    <xf numFmtId="176" fontId="0" fillId="2" borderId="113" xfId="0" applyNumberFormat="1" applyFont="1" applyFill="1" applyBorder="1" applyAlignment="1">
      <alignment vertical="center" shrinkToFit="1"/>
    </xf>
    <xf numFmtId="177" fontId="0" fillId="0" borderId="37" xfId="3" applyNumberFormat="1" applyFont="1" applyBorder="1" applyAlignment="1">
      <alignment horizontal="center" vertical="center" shrinkToFit="1"/>
    </xf>
    <xf numFmtId="176" fontId="0" fillId="0" borderId="61" xfId="0" applyNumberFormat="1" applyFont="1" applyBorder="1" applyAlignment="1">
      <alignment vertical="center"/>
    </xf>
    <xf numFmtId="177" fontId="0" fillId="2" borderId="51" xfId="3" applyNumberFormat="1" applyFont="1" applyFill="1" applyBorder="1" applyAlignment="1">
      <alignment horizontal="center" vertical="center" shrinkToFit="1"/>
    </xf>
    <xf numFmtId="177" fontId="0" fillId="2" borderId="51" xfId="3" applyNumberFormat="1" applyFont="1" applyFill="1" applyBorder="1" applyAlignment="1">
      <alignment vertical="center" shrinkToFit="1"/>
    </xf>
    <xf numFmtId="176" fontId="0" fillId="6" borderId="149" xfId="0" applyNumberFormat="1" applyFont="1" applyFill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0" xfId="0" applyNumberFormat="1" applyFont="1" applyBorder="1" applyAlignment="1">
      <alignment vertical="center" shrinkToFit="1"/>
    </xf>
    <xf numFmtId="177" fontId="0" fillId="0" borderId="110" xfId="0" applyNumberFormat="1" applyFont="1" applyBorder="1" applyAlignment="1">
      <alignment horizontal="center" vertical="center" shrinkToFit="1"/>
    </xf>
    <xf numFmtId="177" fontId="0" fillId="0" borderId="56" xfId="0" applyNumberFormat="1" applyFont="1" applyBorder="1" applyAlignment="1">
      <alignment horizontal="center" vertical="center" shrinkToFit="1"/>
    </xf>
    <xf numFmtId="177" fontId="0" fillId="0" borderId="111" xfId="0" applyNumberFormat="1" applyFont="1" applyBorder="1" applyAlignment="1">
      <alignment horizontal="center" vertical="center" shrinkToFit="1"/>
    </xf>
    <xf numFmtId="177" fontId="0" fillId="0" borderId="86" xfId="0" applyNumberFormat="1" applyFont="1" applyBorder="1" applyAlignment="1">
      <alignment vertical="center" shrinkToFit="1"/>
    </xf>
    <xf numFmtId="176" fontId="0" fillId="6" borderId="109" xfId="0" applyNumberFormat="1" applyFont="1" applyFill="1" applyBorder="1" applyAlignment="1">
      <alignment horizontal="center" vertical="center" shrinkToFit="1"/>
    </xf>
    <xf numFmtId="176" fontId="0" fillId="6" borderId="123" xfId="0" applyNumberFormat="1" applyFont="1" applyFill="1" applyBorder="1" applyAlignment="1">
      <alignment horizontal="center" vertical="center" shrinkToFit="1"/>
    </xf>
    <xf numFmtId="177" fontId="0" fillId="0" borderId="107" xfId="0" applyNumberFormat="1" applyFont="1" applyBorder="1" applyAlignment="1">
      <alignment horizontal="center" vertical="center" shrinkToFit="1"/>
    </xf>
    <xf numFmtId="177" fontId="0" fillId="0" borderId="60" xfId="0" applyNumberFormat="1" applyFont="1" applyBorder="1" applyAlignment="1">
      <alignment horizontal="center" vertical="center" shrinkToFit="1"/>
    </xf>
    <xf numFmtId="176" fontId="0" fillId="0" borderId="130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1" xfId="0" applyNumberFormat="1" applyFont="1" applyBorder="1" applyAlignment="1">
      <alignment vertical="center" shrinkToFit="1"/>
    </xf>
    <xf numFmtId="177" fontId="0" fillId="2" borderId="158" xfId="0" applyNumberFormat="1" applyFont="1" applyFill="1" applyBorder="1" applyAlignment="1">
      <alignment vertical="center" shrinkToFit="1"/>
    </xf>
    <xf numFmtId="176" fontId="0" fillId="2" borderId="159" xfId="0" applyNumberFormat="1" applyFont="1" applyFill="1" applyBorder="1" applyAlignment="1">
      <alignment vertical="center" shrinkToFit="1"/>
    </xf>
    <xf numFmtId="177" fontId="0" fillId="2" borderId="155" xfId="3" applyNumberFormat="1" applyFont="1" applyFill="1" applyBorder="1" applyAlignment="1">
      <alignment horizontal="center" vertical="center" shrinkToFit="1"/>
    </xf>
    <xf numFmtId="177" fontId="0" fillId="2" borderId="155" xfId="3" applyNumberFormat="1" applyFont="1" applyFill="1" applyBorder="1" applyAlignment="1">
      <alignment vertical="center" shrinkToFit="1"/>
    </xf>
    <xf numFmtId="176" fontId="0" fillId="6" borderId="160" xfId="0" applyNumberFormat="1" applyFont="1" applyFill="1" applyBorder="1" applyAlignment="1">
      <alignment vertical="center"/>
    </xf>
    <xf numFmtId="177" fontId="0" fillId="0" borderId="163" xfId="0" applyNumberFormat="1" applyFont="1" applyFill="1" applyBorder="1" applyAlignment="1">
      <alignment vertical="center" shrinkToFit="1"/>
    </xf>
    <xf numFmtId="177" fontId="0" fillId="0" borderId="164" xfId="0" applyNumberFormat="1" applyFont="1" applyFill="1" applyBorder="1" applyAlignment="1">
      <alignment vertical="center" shrinkToFit="1"/>
    </xf>
    <xf numFmtId="177" fontId="0" fillId="0" borderId="156" xfId="0" applyNumberFormat="1" applyFill="1" applyBorder="1" applyAlignment="1">
      <alignment vertical="center"/>
    </xf>
    <xf numFmtId="181" fontId="0" fillId="0" borderId="126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8" fillId="0" borderId="165" xfId="0" applyFont="1" applyBorder="1" applyAlignment="1">
      <alignment horizontal="center" vertical="center" shrinkToFit="1"/>
    </xf>
    <xf numFmtId="0" fontId="8" fillId="0" borderId="168" xfId="0" applyFont="1" applyBorder="1" applyAlignment="1">
      <alignment horizontal="center" vertical="center" shrinkToFit="1"/>
    </xf>
    <xf numFmtId="0" fontId="1" fillId="0" borderId="0" xfId="2" applyFont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71" xfId="0" applyNumberFormat="1" applyFont="1" applyBorder="1" applyAlignment="1">
      <alignment horizontal="center" vertical="center" shrinkToFit="1"/>
    </xf>
    <xf numFmtId="177" fontId="0" fillId="0" borderId="13" xfId="0" applyNumberFormat="1" applyFill="1" applyBorder="1" applyAlignment="1">
      <alignment vertical="center" shrinkToFit="1"/>
    </xf>
    <xf numFmtId="0" fontId="0" fillId="0" borderId="0" xfId="2" applyFont="1" applyAlignment="1">
      <alignment horizontal="right" vertical="center"/>
    </xf>
    <xf numFmtId="176" fontId="0" fillId="0" borderId="87" xfId="0" applyNumberFormat="1" applyFont="1" applyBorder="1" applyAlignment="1">
      <alignment vertical="center" shrinkToFit="1"/>
    </xf>
    <xf numFmtId="9" fontId="0" fillId="0" borderId="87" xfId="0" applyNumberFormat="1" applyFont="1" applyBorder="1" applyAlignment="1">
      <alignment vertical="center" shrinkToFit="1"/>
    </xf>
    <xf numFmtId="182" fontId="0" fillId="0" borderId="87" xfId="4" applyNumberFormat="1" applyFont="1" applyBorder="1" applyAlignment="1">
      <alignment vertical="center" shrinkToFit="1"/>
    </xf>
    <xf numFmtId="176" fontId="0" fillId="0" borderId="87" xfId="0" applyNumberFormat="1" applyFont="1" applyBorder="1" applyAlignment="1">
      <alignment horizontal="right" vertical="center" shrinkToFit="1"/>
    </xf>
    <xf numFmtId="176" fontId="0" fillId="2" borderId="87" xfId="0" applyNumberFormat="1" applyFont="1" applyFill="1" applyBorder="1" applyAlignment="1">
      <alignment vertical="center" shrinkToFit="1"/>
    </xf>
    <xf numFmtId="176" fontId="0" fillId="2" borderId="87" xfId="0" applyNumberFormat="1" applyFont="1" applyFill="1" applyBorder="1" applyAlignment="1">
      <alignment horizontal="left" vertical="center" shrinkToFit="1"/>
    </xf>
    <xf numFmtId="179" fontId="0" fillId="2" borderId="87" xfId="0" applyNumberFormat="1" applyFont="1" applyFill="1" applyBorder="1" applyAlignment="1">
      <alignment vertical="center" shrinkToFit="1"/>
    </xf>
    <xf numFmtId="9" fontId="0" fillId="0" borderId="87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176" fontId="0" fillId="0" borderId="87" xfId="0" applyNumberFormat="1" applyBorder="1" applyAlignment="1">
      <alignment horizontal="center" vertical="center" shrinkToFit="1"/>
    </xf>
    <xf numFmtId="177" fontId="0" fillId="0" borderId="37" xfId="0" applyNumberFormat="1" applyBorder="1" applyAlignment="1">
      <alignment horizontal="center" vertical="center" shrinkToFit="1"/>
    </xf>
    <xf numFmtId="177" fontId="0" fillId="0" borderId="75" xfId="0" applyNumberFormat="1" applyBorder="1" applyAlignment="1">
      <alignment horizontal="center" vertical="center" shrinkToFit="1"/>
    </xf>
    <xf numFmtId="177" fontId="0" fillId="0" borderId="50" xfId="0" applyNumberFormat="1" applyFill="1" applyBorder="1" applyAlignment="1">
      <alignment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156" xfId="0" applyNumberFormat="1" applyFont="1" applyFill="1" applyBorder="1" applyAlignment="1">
      <alignment vertical="center"/>
    </xf>
    <xf numFmtId="177" fontId="0" fillId="0" borderId="163" xfId="0" applyNumberFormat="1" applyFont="1" applyFill="1" applyBorder="1" applyAlignment="1">
      <alignment vertical="center"/>
    </xf>
    <xf numFmtId="177" fontId="0" fillId="0" borderId="164" xfId="0" applyNumberFormat="1" applyFont="1" applyFill="1" applyBorder="1" applyAlignment="1">
      <alignment vertical="center"/>
    </xf>
    <xf numFmtId="177" fontId="0" fillId="0" borderId="156" xfId="0" applyNumberFormat="1" applyFont="1" applyBorder="1" applyAlignment="1">
      <alignment vertical="center" shrinkToFit="1"/>
    </xf>
    <xf numFmtId="181" fontId="0" fillId="0" borderId="172" xfId="0" applyNumberFormat="1" applyFont="1" applyBorder="1" applyAlignment="1">
      <alignment horizontal="right" vertical="center"/>
    </xf>
    <xf numFmtId="181" fontId="0" fillId="0" borderId="173" xfId="0" applyNumberFormat="1" applyFont="1" applyBorder="1" applyAlignment="1">
      <alignment horizontal="right" vertical="center"/>
    </xf>
    <xf numFmtId="0" fontId="0" fillId="0" borderId="0" xfId="0" applyAlignment="1"/>
    <xf numFmtId="0" fontId="1" fillId="0" borderId="0" xfId="0" applyFont="1" applyAlignment="1"/>
    <xf numFmtId="177" fontId="0" fillId="0" borderId="178" xfId="0" applyNumberFormat="1" applyBorder="1" applyAlignment="1">
      <alignment vertical="center"/>
    </xf>
    <xf numFmtId="177" fontId="0" fillId="0" borderId="179" xfId="0" applyNumberFormat="1" applyBorder="1" applyAlignment="1">
      <alignment horizontal="center" vertical="center"/>
    </xf>
    <xf numFmtId="177" fontId="1" fillId="0" borderId="174" xfId="0" applyNumberFormat="1" applyFont="1" applyBorder="1" applyAlignment="1">
      <alignment horizontal="center" vertical="center"/>
    </xf>
    <xf numFmtId="177" fontId="0" fillId="0" borderId="180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177" fontId="0" fillId="0" borderId="97" xfId="0" applyNumberFormat="1" applyBorder="1" applyAlignment="1"/>
    <xf numFmtId="177" fontId="1" fillId="0" borderId="34" xfId="0" applyNumberFormat="1" applyFont="1" applyBorder="1" applyAlignment="1"/>
    <xf numFmtId="177" fontId="0" fillId="0" borderId="24" xfId="0" applyNumberFormat="1" applyBorder="1" applyAlignment="1"/>
    <xf numFmtId="177" fontId="0" fillId="0" borderId="61" xfId="0" applyNumberFormat="1" applyBorder="1" applyAlignment="1"/>
    <xf numFmtId="177" fontId="0" fillId="0" borderId="61" xfId="0" applyNumberFormat="1" applyBorder="1" applyAlignment="1">
      <alignment vertical="center"/>
    </xf>
    <xf numFmtId="0" fontId="1" fillId="0" borderId="34" xfId="0" applyFont="1" applyBorder="1" applyAlignment="1"/>
    <xf numFmtId="0" fontId="0" fillId="0" borderId="97" xfId="0" applyBorder="1" applyAlignment="1"/>
    <xf numFmtId="0" fontId="0" fillId="0" borderId="24" xfId="0" applyBorder="1" applyAlignment="1"/>
    <xf numFmtId="0" fontId="0" fillId="0" borderId="61" xfId="0" applyBorder="1" applyAlignment="1"/>
    <xf numFmtId="0" fontId="0" fillId="0" borderId="147" xfId="0" applyBorder="1" applyAlignment="1"/>
    <xf numFmtId="177" fontId="0" fillId="0" borderId="155" xfId="0" applyNumberFormat="1" applyBorder="1" applyAlignment="1">
      <alignment horizontal="center" vertical="center"/>
    </xf>
    <xf numFmtId="0" fontId="1" fillId="0" borderId="55" xfId="0" applyFont="1" applyBorder="1" applyAlignment="1"/>
    <xf numFmtId="0" fontId="0" fillId="0" borderId="155" xfId="0" applyBorder="1" applyAlignment="1"/>
    <xf numFmtId="0" fontId="0" fillId="0" borderId="160" xfId="0" applyBorder="1" applyAlignment="1"/>
    <xf numFmtId="0" fontId="0" fillId="0" borderId="181" xfId="0" applyBorder="1" applyAlignment="1"/>
    <xf numFmtId="0" fontId="0" fillId="0" borderId="182" xfId="0" applyBorder="1" applyAlignment="1"/>
    <xf numFmtId="0" fontId="1" fillId="0" borderId="183" xfId="0" applyFont="1" applyBorder="1" applyAlignment="1"/>
    <xf numFmtId="0" fontId="0" fillId="0" borderId="184" xfId="0" applyBorder="1" applyAlignment="1"/>
    <xf numFmtId="177" fontId="0" fillId="0" borderId="184" xfId="0" applyNumberFormat="1" applyBorder="1" applyAlignment="1"/>
    <xf numFmtId="176" fontId="1" fillId="0" borderId="185" xfId="0" applyNumberFormat="1" applyFont="1" applyBorder="1" applyAlignment="1">
      <alignment vertical="center"/>
    </xf>
    <xf numFmtId="176" fontId="1" fillId="0" borderId="186" xfId="0" applyNumberFormat="1" applyFont="1" applyBorder="1" applyAlignment="1">
      <alignment horizontal="center" vertical="center"/>
    </xf>
    <xf numFmtId="176" fontId="1" fillId="0" borderId="182" xfId="0" applyNumberFormat="1" applyFont="1" applyBorder="1" applyAlignment="1">
      <alignment horizontal="center" vertical="center"/>
    </xf>
    <xf numFmtId="176" fontId="1" fillId="0" borderId="187" xfId="0" applyNumberFormat="1" applyFont="1" applyBorder="1" applyAlignment="1">
      <alignment horizontal="center" vertical="center"/>
    </xf>
    <xf numFmtId="176" fontId="1" fillId="0" borderId="18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40" xfId="0" applyNumberFormat="1" applyFont="1" applyBorder="1" applyAlignment="1"/>
    <xf numFmtId="176" fontId="1" fillId="0" borderId="2" xfId="0" applyNumberFormat="1" applyFont="1" applyBorder="1" applyAlignment="1"/>
    <xf numFmtId="176" fontId="1" fillId="0" borderId="10" xfId="0" applyNumberFormat="1" applyFont="1" applyBorder="1" applyAlignment="1"/>
    <xf numFmtId="176" fontId="1" fillId="0" borderId="120" xfId="0" applyNumberFormat="1" applyFont="1" applyBorder="1" applyAlignment="1">
      <alignment horizontal="center" vertical="center"/>
    </xf>
    <xf numFmtId="176" fontId="1" fillId="2" borderId="109" xfId="0" applyNumberFormat="1" applyFont="1" applyFill="1" applyBorder="1" applyAlignment="1">
      <alignment horizontal="center" vertical="center"/>
    </xf>
    <xf numFmtId="176" fontId="1" fillId="2" borderId="109" xfId="0" applyNumberFormat="1" applyFont="1" applyFill="1" applyBorder="1" applyAlignment="1"/>
    <xf numFmtId="176" fontId="1" fillId="2" borderId="121" xfId="0" applyNumberFormat="1" applyFont="1" applyFill="1" applyBorder="1" applyAlignment="1"/>
    <xf numFmtId="176" fontId="1" fillId="0" borderId="140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171" xfId="0" applyNumberFormat="1" applyFont="1" applyBorder="1" applyAlignment="1">
      <alignment horizontal="center" vertical="center"/>
    </xf>
    <xf numFmtId="176" fontId="1" fillId="2" borderId="11" xfId="0" applyNumberFormat="1" applyFont="1" applyFill="1" applyBorder="1" applyAlignment="1">
      <alignment horizontal="center" vertical="center"/>
    </xf>
    <xf numFmtId="176" fontId="1" fillId="2" borderId="11" xfId="0" applyNumberFormat="1" applyFont="1" applyFill="1" applyBorder="1" applyAlignment="1">
      <alignment vertical="center"/>
    </xf>
    <xf numFmtId="176" fontId="1" fillId="2" borderId="122" xfId="0" applyNumberFormat="1" applyFont="1" applyFill="1" applyBorder="1" applyAlignment="1">
      <alignment vertical="center"/>
    </xf>
    <xf numFmtId="176" fontId="1" fillId="0" borderId="74" xfId="0" applyNumberFormat="1" applyFont="1" applyBorder="1" applyAlignment="1"/>
    <xf numFmtId="176" fontId="1" fillId="0" borderId="57" xfId="0" applyNumberFormat="1" applyFont="1" applyBorder="1" applyAlignment="1">
      <alignment horizontal="center" vertical="center"/>
    </xf>
    <xf numFmtId="176" fontId="1" fillId="0" borderId="69" xfId="0" applyNumberFormat="1" applyFont="1" applyBorder="1" applyAlignment="1">
      <alignment horizontal="center" vertical="center"/>
    </xf>
    <xf numFmtId="176" fontId="1" fillId="2" borderId="19" xfId="0" applyNumberFormat="1" applyFont="1" applyFill="1" applyBorder="1" applyAlignment="1">
      <alignment horizontal="center" vertical="center"/>
    </xf>
    <xf numFmtId="176" fontId="1" fillId="2" borderId="19" xfId="0" applyNumberFormat="1" applyFont="1" applyFill="1" applyBorder="1" applyAlignment="1">
      <alignment vertical="center"/>
    </xf>
    <xf numFmtId="176" fontId="1" fillId="2" borderId="70" xfId="0" applyNumberFormat="1" applyFont="1" applyFill="1" applyBorder="1" applyAlignment="1">
      <alignment vertical="center"/>
    </xf>
    <xf numFmtId="176" fontId="1" fillId="7" borderId="19" xfId="0" applyNumberFormat="1" applyFont="1" applyFill="1" applyBorder="1" applyAlignment="1">
      <alignment horizontal="center" vertical="center"/>
    </xf>
    <xf numFmtId="176" fontId="1" fillId="7" borderId="19" xfId="0" applyNumberFormat="1" applyFont="1" applyFill="1" applyBorder="1" applyAlignment="1">
      <alignment vertical="center"/>
    </xf>
    <xf numFmtId="176" fontId="1" fillId="7" borderId="70" xfId="0" applyNumberFormat="1" applyFont="1" applyFill="1" applyBorder="1" applyAlignment="1">
      <alignment vertical="center"/>
    </xf>
    <xf numFmtId="176" fontId="1" fillId="5" borderId="140" xfId="0" applyNumberFormat="1" applyFont="1" applyFill="1" applyBorder="1" applyAlignment="1"/>
    <xf numFmtId="185" fontId="1" fillId="5" borderId="140" xfId="0" applyNumberFormat="1" applyFont="1" applyFill="1" applyBorder="1" applyAlignment="1"/>
    <xf numFmtId="176" fontId="1" fillId="5" borderId="140" xfId="0" applyNumberFormat="1" applyFont="1" applyFill="1" applyBorder="1" applyAlignment="1">
      <alignment vertical="center"/>
    </xf>
    <xf numFmtId="0" fontId="8" fillId="0" borderId="87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8" fillId="0" borderId="56" xfId="2" applyFont="1" applyBorder="1" applyAlignment="1">
      <alignment horizontal="center" vertical="center" wrapText="1"/>
    </xf>
    <xf numFmtId="176" fontId="0" fillId="0" borderId="140" xfId="0" applyNumberFormat="1" applyFont="1" applyBorder="1" applyAlignment="1"/>
    <xf numFmtId="176" fontId="1" fillId="5" borderId="10" xfId="0" applyNumberFormat="1" applyFont="1" applyFill="1" applyBorder="1" applyAlignment="1"/>
    <xf numFmtId="176" fontId="1" fillId="0" borderId="170" xfId="0" applyNumberFormat="1" applyFont="1" applyBorder="1" applyAlignment="1"/>
    <xf numFmtId="176" fontId="0" fillId="0" borderId="10" xfId="0" applyNumberFormat="1" applyFont="1" applyBorder="1" applyAlignment="1"/>
    <xf numFmtId="176" fontId="0" fillId="0" borderId="24" xfId="0" applyNumberFormat="1" applyFont="1" applyBorder="1" applyAlignment="1"/>
    <xf numFmtId="176" fontId="1" fillId="0" borderId="24" xfId="0" applyNumberFormat="1" applyFont="1" applyBorder="1" applyAlignment="1"/>
    <xf numFmtId="176" fontId="1" fillId="5" borderId="24" xfId="0" applyNumberFormat="1" applyFont="1" applyFill="1" applyBorder="1" applyAlignment="1"/>
    <xf numFmtId="176" fontId="0" fillId="0" borderId="140" xfId="0" applyNumberFormat="1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1" borderId="156" xfId="0" applyFont="1" applyFill="1" applyBorder="1" applyAlignment="1">
      <alignment horizontal="center" vertical="center" wrapText="1"/>
    </xf>
    <xf numFmtId="0" fontId="16" fillId="1" borderId="50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1" borderId="114" xfId="0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1" borderId="163" xfId="0" applyFont="1" applyFill="1" applyBorder="1" applyAlignment="1">
      <alignment horizontal="center" vertical="center" wrapText="1"/>
    </xf>
    <xf numFmtId="0" fontId="1" fillId="0" borderId="140" xfId="2" applyFont="1" applyBorder="1" applyAlignment="1">
      <alignment horizontal="center" vertical="center" wrapText="1"/>
    </xf>
    <xf numFmtId="0" fontId="16" fillId="1" borderId="34" xfId="0" applyFont="1" applyFill="1" applyBorder="1" applyAlignment="1">
      <alignment horizontal="center" vertical="center" wrapText="1"/>
    </xf>
    <xf numFmtId="0" fontId="16" fillId="1" borderId="40" xfId="0" applyFont="1" applyFill="1" applyBorder="1" applyAlignment="1">
      <alignment horizontal="center" vertical="center" wrapText="1"/>
    </xf>
    <xf numFmtId="0" fontId="0" fillId="0" borderId="87" xfId="2" applyFont="1" applyBorder="1" applyAlignment="1">
      <alignment horizontal="center" vertical="center" wrapText="1"/>
    </xf>
    <xf numFmtId="0" fontId="0" fillId="0" borderId="87" xfId="2" applyFont="1" applyBorder="1" applyAlignment="1">
      <alignment vertical="center" wrapText="1"/>
    </xf>
    <xf numFmtId="176" fontId="0" fillId="0" borderId="10" xfId="0" applyNumberFormat="1" applyFont="1" applyBorder="1" applyAlignment="1">
      <alignment vertical="center" shrinkToFit="1"/>
    </xf>
    <xf numFmtId="176" fontId="0" fillId="0" borderId="10" xfId="0" applyNumberFormat="1" applyFont="1" applyBorder="1" applyAlignment="1">
      <alignment horizontal="center" vertical="center" shrinkToFit="1"/>
    </xf>
    <xf numFmtId="186" fontId="0" fillId="0" borderId="1" xfId="0" applyNumberFormat="1" applyFont="1" applyBorder="1" applyAlignment="1">
      <alignment vertical="center" shrinkToFit="1"/>
    </xf>
    <xf numFmtId="176" fontId="0" fillId="0" borderId="143" xfId="0" applyNumberFormat="1" applyFont="1" applyBorder="1" applyAlignment="1">
      <alignment vertical="center" shrinkToFit="1"/>
    </xf>
    <xf numFmtId="176" fontId="0" fillId="0" borderId="191" xfId="0" applyNumberFormat="1" applyFont="1" applyBorder="1" applyAlignment="1">
      <alignment vertical="center" shrinkToFit="1"/>
    </xf>
    <xf numFmtId="186" fontId="0" fillId="0" borderId="10" xfId="0" applyNumberFormat="1" applyFont="1" applyBorder="1" applyAlignment="1">
      <alignment vertical="center" shrinkToFit="1"/>
    </xf>
    <xf numFmtId="176" fontId="0" fillId="0" borderId="192" xfId="0" applyNumberFormat="1" applyFont="1" applyBorder="1" applyAlignment="1">
      <alignment vertical="center" shrinkToFit="1"/>
    </xf>
    <xf numFmtId="176" fontId="0" fillId="2" borderId="17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horizontal="center" vertical="center" shrinkToFit="1"/>
    </xf>
    <xf numFmtId="176" fontId="0" fillId="2" borderId="17" xfId="0" applyNumberFormat="1" applyFont="1" applyFill="1" applyBorder="1" applyAlignment="1">
      <alignment horizontal="center" vertical="center" shrinkToFit="1"/>
    </xf>
    <xf numFmtId="176" fontId="0" fillId="2" borderId="18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0" fontId="0" fillId="0" borderId="55" xfId="0" applyFont="1" applyBorder="1" applyAlignment="1"/>
    <xf numFmtId="176" fontId="0" fillId="0" borderId="24" xfId="0" applyNumberFormat="1" applyFont="1" applyBorder="1" applyAlignment="1">
      <alignment vertical="center"/>
    </xf>
    <xf numFmtId="0" fontId="0" fillId="0" borderId="24" xfId="0" applyBorder="1">
      <alignment vertical="center"/>
    </xf>
    <xf numFmtId="177" fontId="0" fillId="0" borderId="140" xfId="0" applyNumberFormat="1" applyBorder="1">
      <alignment vertical="center"/>
    </xf>
    <xf numFmtId="188" fontId="0" fillId="0" borderId="1" xfId="0" applyNumberFormat="1" applyFont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3" xfId="0" applyNumberFormat="1" applyFill="1" applyBorder="1" applyAlignment="1">
      <alignment vertical="center" shrinkToFit="1"/>
    </xf>
    <xf numFmtId="176" fontId="0" fillId="0" borderId="151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horizontal="center" vertical="center" shrinkToFit="1"/>
    </xf>
    <xf numFmtId="181" fontId="0" fillId="0" borderId="199" xfId="0" applyNumberFormat="1" applyFont="1" applyBorder="1" applyAlignment="1">
      <alignment horizontal="right" vertical="center"/>
    </xf>
    <xf numFmtId="181" fontId="0" fillId="0" borderId="42" xfId="0" applyNumberFormat="1" applyFont="1" applyBorder="1" applyAlignment="1">
      <alignment horizontal="right" vertical="center"/>
    </xf>
    <xf numFmtId="185" fontId="0" fillId="0" borderId="42" xfId="0" applyNumberFormat="1" applyFont="1" applyBorder="1" applyAlignment="1">
      <alignment horizontal="right" vertical="center"/>
    </xf>
    <xf numFmtId="185" fontId="0" fillId="0" borderId="42" xfId="0" applyNumberFormat="1" applyFont="1" applyBorder="1" applyAlignment="1">
      <alignment vertical="center"/>
    </xf>
    <xf numFmtId="0" fontId="0" fillId="0" borderId="42" xfId="0" applyNumberFormat="1" applyFont="1" applyBorder="1" applyAlignment="1">
      <alignment vertical="center"/>
    </xf>
    <xf numFmtId="0" fontId="0" fillId="0" borderId="54" xfId="0" applyNumberFormat="1" applyFont="1" applyBorder="1" applyAlignment="1">
      <alignment vertical="center"/>
    </xf>
    <xf numFmtId="185" fontId="0" fillId="0" borderId="54" xfId="0" applyNumberFormat="1" applyFont="1" applyBorder="1" applyAlignment="1">
      <alignment horizontal="right" vertical="center"/>
    </xf>
    <xf numFmtId="0" fontId="0" fillId="8" borderId="42" xfId="0" applyNumberFormat="1" applyFont="1" applyFill="1" applyBorder="1" applyAlignment="1">
      <alignment horizontal="right" vertical="center"/>
    </xf>
    <xf numFmtId="0" fontId="0" fillId="8" borderId="54" xfId="0" applyNumberFormat="1" applyFont="1" applyFill="1" applyBorder="1" applyAlignment="1">
      <alignment horizontal="right" vertical="center"/>
    </xf>
    <xf numFmtId="0" fontId="0" fillId="9" borderId="42" xfId="0" applyNumberFormat="1" applyFont="1" applyFill="1" applyBorder="1" applyAlignment="1">
      <alignment horizontal="right" vertical="center"/>
    </xf>
    <xf numFmtId="0" fontId="0" fillId="0" borderId="205" xfId="0" applyFont="1" applyBorder="1" applyAlignment="1">
      <alignment vertical="center" wrapText="1"/>
    </xf>
    <xf numFmtId="0" fontId="0" fillId="0" borderId="206" xfId="0" applyFont="1" applyBorder="1" applyAlignment="1">
      <alignment vertical="center"/>
    </xf>
    <xf numFmtId="38" fontId="0" fillId="0" borderId="180" xfId="1" applyFont="1" applyBorder="1" applyAlignment="1">
      <alignment vertical="center" shrinkToFit="1"/>
    </xf>
    <xf numFmtId="38" fontId="0" fillId="0" borderId="61" xfId="1" applyFont="1" applyBorder="1" applyAlignment="1">
      <alignment vertical="center" shrinkToFit="1"/>
    </xf>
    <xf numFmtId="181" fontId="0" fillId="3" borderId="40" xfId="0" applyNumberFormat="1" applyFont="1" applyFill="1" applyBorder="1" applyAlignment="1">
      <alignment horizontal="right" vertical="center"/>
    </xf>
    <xf numFmtId="181" fontId="0" fillId="3" borderId="207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181" fontId="0" fillId="4" borderId="40" xfId="0" applyNumberFormat="1" applyFont="1" applyFill="1" applyBorder="1" applyAlignment="1">
      <alignment horizontal="right" vertical="center"/>
    </xf>
    <xf numFmtId="181" fontId="0" fillId="4" borderId="62" xfId="0" applyNumberFormat="1" applyFont="1" applyFill="1" applyBorder="1" applyAlignment="1">
      <alignment horizontal="right" vertical="center"/>
    </xf>
    <xf numFmtId="38" fontId="0" fillId="0" borderId="63" xfId="1" applyFont="1" applyBorder="1" applyAlignment="1">
      <alignment vertical="center" shrinkToFit="1"/>
    </xf>
    <xf numFmtId="181" fontId="0" fillId="3" borderId="182" xfId="1" applyNumberFormat="1" applyFont="1" applyFill="1" applyBorder="1" applyAlignment="1">
      <alignment horizontal="right" vertical="center"/>
    </xf>
    <xf numFmtId="181" fontId="0" fillId="0" borderId="48" xfId="0" applyNumberFormat="1" applyFont="1" applyBorder="1" applyAlignment="1">
      <alignment horizontal="right" vertical="center"/>
    </xf>
    <xf numFmtId="181" fontId="0" fillId="0" borderId="24" xfId="1" applyNumberFormat="1" applyFont="1" applyBorder="1" applyAlignment="1">
      <alignment horizontal="right" vertical="center"/>
    </xf>
    <xf numFmtId="38" fontId="0" fillId="0" borderId="66" xfId="1" applyFont="1" applyBorder="1" applyAlignment="1">
      <alignment vertical="center" shrinkToFit="1"/>
    </xf>
    <xf numFmtId="0" fontId="0" fillId="0" borderId="211" xfId="0" applyFont="1" applyFill="1" applyBorder="1" applyAlignment="1">
      <alignment vertical="center"/>
    </xf>
    <xf numFmtId="0" fontId="0" fillId="0" borderId="207" xfId="0" applyFont="1" applyFill="1" applyBorder="1" applyAlignment="1">
      <alignment vertical="center"/>
    </xf>
    <xf numFmtId="181" fontId="0" fillId="0" borderId="208" xfId="1" applyNumberFormat="1" applyFont="1" applyBorder="1" applyAlignment="1">
      <alignment horizontal="right" vertical="center"/>
    </xf>
    <xf numFmtId="38" fontId="0" fillId="0" borderId="212" xfId="1" applyFont="1" applyBorder="1" applyAlignment="1">
      <alignment vertical="center" shrinkToFit="1"/>
    </xf>
    <xf numFmtId="181" fontId="0" fillId="4" borderId="47" xfId="1" applyNumberFormat="1" applyFont="1" applyFill="1" applyBorder="1" applyAlignment="1">
      <alignment horizontal="right" vertical="center"/>
    </xf>
    <xf numFmtId="181" fontId="0" fillId="3" borderId="48" xfId="1" applyNumberFormat="1" applyFont="1" applyFill="1" applyBorder="1" applyAlignment="1">
      <alignment horizontal="right" vertical="center"/>
    </xf>
    <xf numFmtId="0" fontId="0" fillId="0" borderId="204" xfId="0" applyFont="1" applyBorder="1" applyAlignment="1">
      <alignment horizontal="center" vertical="center"/>
    </xf>
    <xf numFmtId="181" fontId="0" fillId="0" borderId="209" xfId="0" applyNumberFormat="1" applyFont="1" applyBorder="1" applyAlignment="1">
      <alignment horizontal="right" vertical="center"/>
    </xf>
    <xf numFmtId="181" fontId="0" fillId="0" borderId="211" xfId="0" applyNumberFormat="1" applyFont="1" applyBorder="1" applyAlignment="1">
      <alignment horizontal="right" vertical="center"/>
    </xf>
    <xf numFmtId="0" fontId="0" fillId="0" borderId="210" xfId="0" applyFont="1" applyBorder="1" applyAlignment="1">
      <alignment vertical="center"/>
    </xf>
    <xf numFmtId="0" fontId="0" fillId="0" borderId="54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181" fontId="0" fillId="0" borderId="42" xfId="1" applyNumberFormat="1" applyFont="1" applyBorder="1" applyAlignment="1">
      <alignment horizontal="right" vertical="center"/>
    </xf>
    <xf numFmtId="181" fontId="0" fillId="0" borderId="43" xfId="0" applyNumberFormat="1" applyFont="1" applyBorder="1" applyAlignment="1">
      <alignment horizontal="right" vertical="center"/>
    </xf>
    <xf numFmtId="38" fontId="0" fillId="0" borderId="184" xfId="1" applyFont="1" applyBorder="1" applyAlignment="1">
      <alignment vertical="center" shrinkToFit="1"/>
    </xf>
    <xf numFmtId="176" fontId="0" fillId="0" borderId="24" xfId="0" applyNumberFormat="1" applyFont="1" applyBorder="1" applyAlignment="1">
      <alignment vertical="center"/>
    </xf>
    <xf numFmtId="176" fontId="0" fillId="0" borderId="198" xfId="0" applyNumberFormat="1" applyFont="1" applyBorder="1" applyAlignment="1">
      <alignment horizontal="center" vertical="center" shrinkToFit="1"/>
    </xf>
    <xf numFmtId="176" fontId="0" fillId="0" borderId="140" xfId="0" applyNumberFormat="1" applyFont="1" applyBorder="1" applyAlignment="1">
      <alignment vertical="center" shrinkToFit="1"/>
    </xf>
    <xf numFmtId="176" fontId="0" fillId="2" borderId="140" xfId="0" applyNumberFormat="1" applyFont="1" applyFill="1" applyBorder="1" applyAlignment="1">
      <alignment vertical="center" shrinkToFit="1"/>
    </xf>
    <xf numFmtId="176" fontId="0" fillId="0" borderId="18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193" xfId="0" applyNumberFormat="1" applyFont="1" applyBorder="1" applyAlignment="1">
      <alignment vertical="center"/>
    </xf>
    <xf numFmtId="176" fontId="0" fillId="0" borderId="194" xfId="0" applyNumberFormat="1" applyFont="1" applyBorder="1" applyAlignment="1">
      <alignment vertical="center"/>
    </xf>
    <xf numFmtId="176" fontId="0" fillId="0" borderId="195" xfId="0" applyNumberFormat="1" applyFont="1" applyBorder="1" applyAlignment="1">
      <alignment horizontal="center" vertical="center"/>
    </xf>
    <xf numFmtId="176" fontId="0" fillId="0" borderId="195" xfId="0" applyNumberFormat="1" applyFont="1" applyBorder="1" applyAlignment="1">
      <alignment vertical="center"/>
    </xf>
    <xf numFmtId="176" fontId="0" fillId="0" borderId="194" xfId="0" applyNumberFormat="1" applyFont="1" applyBorder="1" applyAlignment="1">
      <alignment horizontal="center" vertical="center"/>
    </xf>
    <xf numFmtId="176" fontId="0" fillId="0" borderId="196" xfId="0" applyNumberFormat="1" applyFont="1" applyBorder="1" applyAlignment="1">
      <alignment horizontal="center" vertical="center"/>
    </xf>
    <xf numFmtId="176" fontId="0" fillId="0" borderId="177" xfId="0" applyNumberFormat="1" applyFont="1" applyBorder="1" applyAlignment="1">
      <alignment vertical="center"/>
    </xf>
    <xf numFmtId="176" fontId="0" fillId="0" borderId="140" xfId="0" applyNumberFormat="1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176" fontId="0" fillId="0" borderId="143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76" fontId="0" fillId="1" borderId="39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0" fillId="0" borderId="72" xfId="0" applyNumberFormat="1" applyFont="1" applyBorder="1">
      <alignment vertical="center"/>
    </xf>
    <xf numFmtId="179" fontId="0" fillId="0" borderId="156" xfId="0" applyNumberFormat="1" applyFont="1" applyBorder="1" applyAlignment="1">
      <alignment vertical="center"/>
    </xf>
    <xf numFmtId="179" fontId="0" fillId="0" borderId="197" xfId="0" applyNumberFormat="1" applyFont="1" applyBorder="1" applyAlignment="1">
      <alignment vertical="center"/>
    </xf>
    <xf numFmtId="179" fontId="0" fillId="0" borderId="140" xfId="0" applyNumberFormat="1" applyFont="1" applyBorder="1">
      <alignment vertical="center"/>
    </xf>
    <xf numFmtId="179" fontId="0" fillId="0" borderId="67" xfId="0" applyNumberFormat="1" applyFont="1" applyBorder="1">
      <alignment vertical="center"/>
    </xf>
    <xf numFmtId="179" fontId="0" fillId="0" borderId="74" xfId="0" applyNumberFormat="1" applyFont="1" applyBorder="1" applyAlignment="1">
      <alignment vertical="center"/>
    </xf>
    <xf numFmtId="176" fontId="0" fillId="0" borderId="177" xfId="0" applyNumberFormat="1" applyFont="1" applyBorder="1">
      <alignment vertical="center"/>
    </xf>
    <xf numFmtId="179" fontId="0" fillId="0" borderId="140" xfId="0" applyNumberFormat="1" applyFont="1" applyBorder="1" applyAlignment="1">
      <alignment vertical="center"/>
    </xf>
    <xf numFmtId="179" fontId="0" fillId="0" borderId="67" xfId="0" applyNumberFormat="1" applyFont="1" applyBorder="1" applyAlignment="1">
      <alignment vertical="center"/>
    </xf>
    <xf numFmtId="179" fontId="0" fillId="0" borderId="2" xfId="0" applyNumberFormat="1" applyFont="1" applyBorder="1" applyAlignment="1">
      <alignment vertical="center"/>
    </xf>
    <xf numFmtId="176" fontId="0" fillId="0" borderId="177" xfId="0" applyNumberFormat="1" applyFont="1" applyBorder="1" applyAlignment="1">
      <alignment horizontal="center" vertical="center"/>
    </xf>
    <xf numFmtId="179" fontId="0" fillId="0" borderId="68" xfId="0" applyNumberFormat="1" applyFont="1" applyBorder="1" applyAlignment="1">
      <alignment vertical="center"/>
    </xf>
    <xf numFmtId="179" fontId="0" fillId="0" borderId="143" xfId="0" applyNumberFormat="1" applyFont="1" applyBorder="1" applyAlignment="1">
      <alignment vertical="center"/>
    </xf>
    <xf numFmtId="176" fontId="0" fillId="0" borderId="69" xfId="0" applyNumberFormat="1" applyFont="1" applyBorder="1" applyAlignment="1">
      <alignment horizontal="center" vertical="center"/>
    </xf>
    <xf numFmtId="179" fontId="0" fillId="0" borderId="19" xfId="0" applyNumberFormat="1" applyFont="1" applyBorder="1" applyAlignment="1">
      <alignment vertical="center"/>
    </xf>
    <xf numFmtId="179" fontId="0" fillId="0" borderId="18" xfId="0" applyNumberFormat="1" applyFont="1" applyBorder="1" applyAlignment="1">
      <alignment vertical="center"/>
    </xf>
    <xf numFmtId="179" fontId="0" fillId="0" borderId="70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7" fontId="0" fillId="0" borderId="213" xfId="0" applyNumberFormat="1" applyFont="1" applyBorder="1" applyAlignment="1">
      <alignment horizontal="center" vertical="center" shrinkToFit="1"/>
    </xf>
    <xf numFmtId="177" fontId="0" fillId="0" borderId="214" xfId="0" applyNumberFormat="1" applyBorder="1" applyAlignment="1">
      <alignment horizontal="center" vertical="center" shrinkToFit="1"/>
    </xf>
    <xf numFmtId="177" fontId="0" fillId="0" borderId="215" xfId="0" applyNumberFormat="1" applyFont="1" applyBorder="1" applyAlignment="1">
      <alignment horizontal="center" vertical="center" shrinkToFit="1"/>
    </xf>
    <xf numFmtId="177" fontId="0" fillId="0" borderId="216" xfId="0" applyNumberFormat="1" applyBorder="1">
      <alignment vertical="center"/>
    </xf>
    <xf numFmtId="177" fontId="0" fillId="0" borderId="217" xfId="0" applyNumberFormat="1" applyFont="1" applyBorder="1" applyAlignment="1">
      <alignment vertical="center" shrinkToFit="1"/>
    </xf>
    <xf numFmtId="177" fontId="0" fillId="0" borderId="216" xfId="0" applyNumberFormat="1" applyBorder="1" applyAlignment="1">
      <alignment vertical="center"/>
    </xf>
    <xf numFmtId="177" fontId="0" fillId="0" borderId="218" xfId="0" applyNumberFormat="1" applyFont="1" applyBorder="1" applyAlignment="1">
      <alignment vertical="center" shrinkToFit="1"/>
    </xf>
    <xf numFmtId="177" fontId="0" fillId="2" borderId="219" xfId="0" applyNumberFormat="1" applyFont="1" applyFill="1" applyBorder="1" applyAlignment="1">
      <alignment horizontal="center" vertical="center" shrinkToFit="1"/>
    </xf>
    <xf numFmtId="177" fontId="0" fillId="2" borderId="220" xfId="0" applyNumberFormat="1" applyFont="1" applyFill="1" applyBorder="1" applyAlignment="1">
      <alignment vertical="center" shrinkToFit="1"/>
    </xf>
    <xf numFmtId="177" fontId="0" fillId="2" borderId="221" xfId="0" applyNumberFormat="1" applyFont="1" applyFill="1" applyBorder="1" applyAlignment="1">
      <alignment vertical="center" shrinkToFit="1"/>
    </xf>
    <xf numFmtId="177" fontId="0" fillId="2" borderId="222" xfId="0" applyNumberFormat="1" applyFont="1" applyFill="1" applyBorder="1" applyAlignment="1">
      <alignment vertical="center" shrinkToFit="1"/>
    </xf>
    <xf numFmtId="177" fontId="0" fillId="0" borderId="223" xfId="0" applyNumberFormat="1" applyFont="1" applyBorder="1" applyAlignment="1">
      <alignment vertical="center" shrinkToFit="1"/>
    </xf>
    <xf numFmtId="177" fontId="0" fillId="0" borderId="163" xfId="0" applyNumberFormat="1" applyFont="1" applyBorder="1" applyAlignment="1">
      <alignment vertical="center" shrinkToFit="1"/>
    </xf>
    <xf numFmtId="177" fontId="0" fillId="0" borderId="224" xfId="0" applyNumberFormat="1" applyFont="1" applyBorder="1" applyAlignment="1">
      <alignment horizontal="center" vertical="center" shrinkToFit="1"/>
    </xf>
    <xf numFmtId="177" fontId="0" fillId="0" borderId="176" xfId="0" applyNumberFormat="1" applyFont="1" applyBorder="1" applyAlignment="1">
      <alignment vertical="center" shrinkToFit="1"/>
    </xf>
    <xf numFmtId="177" fontId="0" fillId="0" borderId="176" xfId="0" applyNumberFormat="1" applyFont="1" applyBorder="1" applyAlignment="1">
      <alignment horizontal="center" vertical="center" shrinkToFit="1"/>
    </xf>
    <xf numFmtId="187" fontId="0" fillId="0" borderId="24" xfId="0" applyNumberFormat="1" applyBorder="1">
      <alignment vertical="center"/>
    </xf>
    <xf numFmtId="177" fontId="0" fillId="0" borderId="24" xfId="0" applyNumberFormat="1" applyFont="1" applyBorder="1" applyAlignment="1">
      <alignment vertical="center" shrinkToFit="1"/>
    </xf>
    <xf numFmtId="177" fontId="0" fillId="0" borderId="24" xfId="0" applyNumberFormat="1" applyBorder="1">
      <alignment vertical="center"/>
    </xf>
    <xf numFmtId="178" fontId="0" fillId="0" borderId="24" xfId="0" applyNumberFormat="1" applyBorder="1">
      <alignment vertical="center"/>
    </xf>
    <xf numFmtId="187" fontId="0" fillId="0" borderId="24" xfId="0" applyNumberFormat="1" applyBorder="1" applyAlignment="1">
      <alignment vertical="center"/>
    </xf>
    <xf numFmtId="177" fontId="0" fillId="0" borderId="24" xfId="0" applyNumberFormat="1" applyFont="1" applyBorder="1" applyAlignment="1">
      <alignment horizontal="center" vertical="center" shrinkToFit="1"/>
    </xf>
    <xf numFmtId="0" fontId="0" fillId="3" borderId="225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0" borderId="200" xfId="0" applyFont="1" applyBorder="1" applyAlignment="1">
      <alignment vertical="center" textRotation="255"/>
    </xf>
    <xf numFmtId="0" fontId="0" fillId="0" borderId="175" xfId="0" applyFont="1" applyBorder="1" applyAlignment="1">
      <alignment vertical="center" textRotation="255"/>
    </xf>
    <xf numFmtId="184" fontId="0" fillId="0" borderId="76" xfId="0" applyNumberFormat="1" applyFont="1" applyBorder="1" applyAlignment="1">
      <alignment horizontal="center" vertical="center"/>
    </xf>
    <xf numFmtId="176" fontId="4" fillId="0" borderId="226" xfId="0" applyNumberFormat="1" applyFont="1" applyBorder="1" applyAlignment="1">
      <alignment horizontal="left" vertical="center" wrapText="1"/>
    </xf>
    <xf numFmtId="176" fontId="0" fillId="0" borderId="194" xfId="0" applyNumberFormat="1" applyFont="1" applyBorder="1" applyAlignment="1">
      <alignment horizontal="center" vertical="center" shrinkToFit="1"/>
    </xf>
    <xf numFmtId="176" fontId="0" fillId="0" borderId="177" xfId="0" applyNumberFormat="1" applyFont="1" applyBorder="1" applyAlignment="1">
      <alignment horizontal="center" vertical="center" shrinkToFit="1"/>
    </xf>
    <xf numFmtId="176" fontId="0" fillId="0" borderId="69" xfId="0" applyNumberFormat="1" applyFont="1" applyBorder="1" applyAlignment="1">
      <alignment horizontal="center" vertical="center" shrinkToFit="1"/>
    </xf>
    <xf numFmtId="176" fontId="0" fillId="0" borderId="19" xfId="0" applyNumberFormat="1" applyFont="1" applyBorder="1" applyAlignment="1">
      <alignment vertical="center" shrinkToFit="1"/>
    </xf>
    <xf numFmtId="176" fontId="0" fillId="0" borderId="70" xfId="0" applyNumberFormat="1" applyFont="1" applyBorder="1" applyAlignment="1">
      <alignment vertical="center" shrinkToFit="1"/>
    </xf>
    <xf numFmtId="177" fontId="0" fillId="0" borderId="227" xfId="0" applyNumberFormat="1" applyFont="1" applyBorder="1" applyAlignment="1">
      <alignment vertical="center" shrinkToFit="1"/>
    </xf>
    <xf numFmtId="177" fontId="0" fillId="0" borderId="14" xfId="0" applyNumberFormat="1" applyFill="1" applyBorder="1" applyAlignment="1">
      <alignment vertical="center"/>
    </xf>
    <xf numFmtId="0" fontId="0" fillId="0" borderId="228" xfId="0" applyBorder="1">
      <alignment vertical="center"/>
    </xf>
    <xf numFmtId="181" fontId="0" fillId="0" borderId="24" xfId="0" applyNumberFormat="1" applyFont="1" applyFill="1" applyBorder="1" applyAlignment="1">
      <alignment horizontal="right" vertical="center"/>
    </xf>
    <xf numFmtId="181" fontId="0" fillId="0" borderId="34" xfId="0" applyNumberFormat="1" applyFont="1" applyFill="1" applyBorder="1" applyAlignment="1">
      <alignment horizontal="right" vertical="center"/>
    </xf>
    <xf numFmtId="38" fontId="1" fillId="0" borderId="61" xfId="1" applyFont="1" applyFill="1" applyBorder="1" applyAlignment="1">
      <alignment vertical="center" shrinkToFit="1"/>
    </xf>
    <xf numFmtId="38" fontId="1" fillId="0" borderId="61" xfId="1" applyFont="1" applyBorder="1" applyAlignment="1">
      <alignment vertical="center" shrinkToFit="1"/>
    </xf>
    <xf numFmtId="0" fontId="17" fillId="0" borderId="0" xfId="0" applyFont="1" applyAlignment="1">
      <alignment vertical="center"/>
    </xf>
    <xf numFmtId="1" fontId="17" fillId="0" borderId="0" xfId="0" applyNumberFormat="1" applyFont="1" applyAlignment="1">
      <alignment vertical="center"/>
    </xf>
    <xf numFmtId="181" fontId="17" fillId="0" borderId="0" xfId="0" applyNumberFormat="1" applyFont="1" applyAlignment="1">
      <alignment vertical="center"/>
    </xf>
    <xf numFmtId="182" fontId="17" fillId="0" borderId="0" xfId="4" applyNumberFormat="1" applyFont="1" applyAlignment="1">
      <alignment vertical="center"/>
    </xf>
    <xf numFmtId="176" fontId="0" fillId="0" borderId="87" xfId="0" applyNumberFormat="1" applyFont="1" applyFill="1" applyBorder="1" applyAlignment="1">
      <alignment vertical="center" shrinkToFit="1"/>
    </xf>
    <xf numFmtId="176" fontId="0" fillId="0" borderId="87" xfId="0" applyNumberFormat="1" applyFont="1" applyFill="1" applyBorder="1" applyAlignment="1">
      <alignment horizontal="center" vertical="center" shrinkToFit="1"/>
    </xf>
    <xf numFmtId="9" fontId="0" fillId="0" borderId="87" xfId="0" applyNumberFormat="1" applyFont="1" applyFill="1" applyBorder="1" applyAlignment="1">
      <alignment vertical="center" shrinkToFit="1"/>
    </xf>
    <xf numFmtId="182" fontId="0" fillId="0" borderId="87" xfId="4" applyNumberFormat="1" applyFont="1" applyFill="1" applyBorder="1" applyAlignment="1">
      <alignment vertical="center" shrinkToFit="1"/>
    </xf>
    <xf numFmtId="176" fontId="0" fillId="0" borderId="140" xfId="0" applyNumberFormat="1" applyFont="1" applyFill="1" applyBorder="1" applyAlignment="1">
      <alignment vertical="center" shrinkToFit="1"/>
    </xf>
    <xf numFmtId="176" fontId="17" fillId="0" borderId="0" xfId="0" applyNumberFormat="1" applyFont="1" applyAlignment="1">
      <alignment vertical="center"/>
    </xf>
    <xf numFmtId="176" fontId="17" fillId="0" borderId="230" xfId="0" applyNumberFormat="1" applyFont="1" applyBorder="1" applyAlignment="1">
      <alignment vertical="center"/>
    </xf>
    <xf numFmtId="182" fontId="0" fillId="0" borderId="143" xfId="0" applyNumberFormat="1" applyFont="1" applyFill="1" applyBorder="1" applyAlignment="1">
      <alignment vertical="center"/>
    </xf>
    <xf numFmtId="177" fontId="0" fillId="0" borderId="156" xfId="0" applyNumberFormat="1" applyFill="1" applyBorder="1" applyAlignment="1">
      <alignment vertical="center" shrinkToFit="1"/>
    </xf>
    <xf numFmtId="177" fontId="0" fillId="0" borderId="140" xfId="0" applyNumberFormat="1" applyBorder="1" applyAlignment="1">
      <alignment vertical="center"/>
    </xf>
    <xf numFmtId="179" fontId="0" fillId="0" borderId="126" xfId="0" applyNumberFormat="1" applyFont="1" applyFill="1" applyBorder="1" applyAlignment="1">
      <alignment horizontal="center" vertical="center" shrinkToFit="1"/>
    </xf>
    <xf numFmtId="179" fontId="0" fillId="0" borderId="129" xfId="0" applyNumberFormat="1" applyFont="1" applyFill="1" applyBorder="1" applyAlignment="1">
      <alignment horizontal="center" vertical="center" shrinkToFit="1"/>
    </xf>
    <xf numFmtId="10" fontId="0" fillId="0" borderId="87" xfId="4" applyNumberFormat="1" applyFont="1" applyBorder="1" applyAlignment="1">
      <alignment vertical="center" shrinkToFit="1"/>
    </xf>
    <xf numFmtId="181" fontId="0" fillId="0" borderId="0" xfId="0" applyNumberFormat="1" applyFont="1" applyAlignment="1">
      <alignment vertical="center"/>
    </xf>
    <xf numFmtId="176" fontId="17" fillId="0" borderId="231" xfId="0" applyNumberFormat="1" applyFont="1" applyBorder="1" applyAlignment="1">
      <alignment horizontal="center" vertical="center" shrinkToFit="1"/>
    </xf>
    <xf numFmtId="176" fontId="18" fillId="0" borderId="231" xfId="0" applyNumberFormat="1" applyFont="1" applyBorder="1" applyAlignment="1">
      <alignment horizontal="center" vertical="center" shrinkToFit="1"/>
    </xf>
    <xf numFmtId="176" fontId="17" fillId="0" borderId="231" xfId="0" applyNumberFormat="1" applyFont="1" applyBorder="1" applyAlignment="1">
      <alignment vertical="center" shrinkToFit="1"/>
    </xf>
    <xf numFmtId="176" fontId="17" fillId="2" borderId="231" xfId="0" applyNumberFormat="1" applyFont="1" applyFill="1" applyBorder="1" applyAlignment="1">
      <alignment vertical="center" shrinkToFit="1"/>
    </xf>
    <xf numFmtId="176" fontId="17" fillId="0" borderId="231" xfId="0" applyNumberFormat="1" applyFont="1" applyFill="1" applyBorder="1" applyAlignment="1">
      <alignment vertical="center" shrinkToFit="1"/>
    </xf>
    <xf numFmtId="176" fontId="17" fillId="5" borderId="231" xfId="0" applyNumberFormat="1" applyFont="1" applyFill="1" applyBorder="1" applyAlignment="1">
      <alignment vertical="center" shrinkToFit="1"/>
    </xf>
    <xf numFmtId="176" fontId="0" fillId="0" borderId="196" xfId="0" applyNumberFormat="1" applyFont="1" applyBorder="1" applyAlignment="1">
      <alignment horizontal="center" vertical="center" shrinkToFit="1"/>
    </xf>
    <xf numFmtId="176" fontId="5" fillId="0" borderId="140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2" xfId="0" applyNumberFormat="1" applyFont="1" applyFill="1" applyBorder="1" applyAlignment="1">
      <alignment vertical="center" shrinkToFit="1"/>
    </xf>
    <xf numFmtId="176" fontId="0" fillId="0" borderId="70" xfId="0" applyNumberFormat="1" applyFont="1" applyFill="1" applyBorder="1" applyAlignment="1">
      <alignment vertical="center" shrinkToFit="1"/>
    </xf>
    <xf numFmtId="179" fontId="0" fillId="0" borderId="232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6" fontId="0" fillId="0" borderId="144" xfId="0" applyNumberFormat="1" applyFont="1" applyBorder="1" applyAlignment="1">
      <alignment vertical="center"/>
    </xf>
    <xf numFmtId="176" fontId="16" fillId="0" borderId="0" xfId="0" applyNumberFormat="1" applyFont="1" applyAlignment="1">
      <alignment vertical="center" shrinkToFit="1"/>
    </xf>
    <xf numFmtId="176" fontId="16" fillId="0" borderId="193" xfId="0" applyNumberFormat="1" applyFont="1" applyBorder="1" applyAlignment="1">
      <alignment vertical="center" shrinkToFit="1"/>
    </xf>
    <xf numFmtId="176" fontId="16" fillId="0" borderId="194" xfId="0" applyNumberFormat="1" applyFont="1" applyBorder="1" applyAlignment="1">
      <alignment vertical="center" shrinkToFit="1"/>
    </xf>
    <xf numFmtId="176" fontId="16" fillId="0" borderId="195" xfId="0" applyNumberFormat="1" applyFont="1" applyBorder="1" applyAlignment="1">
      <alignment horizontal="center" vertical="center" shrinkToFit="1"/>
    </xf>
    <xf numFmtId="176" fontId="16" fillId="0" borderId="195" xfId="0" applyNumberFormat="1" applyFont="1" applyBorder="1" applyAlignment="1">
      <alignment vertical="center" shrinkToFit="1"/>
    </xf>
    <xf numFmtId="176" fontId="16" fillId="0" borderId="194" xfId="0" applyNumberFormat="1" applyFont="1" applyBorder="1" applyAlignment="1">
      <alignment horizontal="center" vertical="center" shrinkToFit="1"/>
    </xf>
    <xf numFmtId="176" fontId="16" fillId="0" borderId="196" xfId="0" applyNumberFormat="1" applyFont="1" applyBorder="1" applyAlignment="1">
      <alignment horizontal="center" vertical="center" shrinkToFit="1"/>
    </xf>
    <xf numFmtId="176" fontId="16" fillId="0" borderId="9" xfId="0" applyNumberFormat="1" applyFont="1" applyBorder="1" applyAlignment="1">
      <alignment vertical="center" shrinkToFit="1"/>
    </xf>
    <xf numFmtId="176" fontId="16" fillId="0" borderId="140" xfId="0" applyNumberFormat="1" applyFont="1" applyBorder="1" applyAlignment="1">
      <alignment horizontal="center" vertical="center" shrinkToFit="1"/>
    </xf>
    <xf numFmtId="176" fontId="16" fillId="0" borderId="67" xfId="0" applyNumberFormat="1" applyFont="1" applyBorder="1" applyAlignment="1">
      <alignment horizontal="center" vertical="center" shrinkToFit="1"/>
    </xf>
    <xf numFmtId="176" fontId="16" fillId="0" borderId="143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vertical="center" shrinkToFit="1"/>
    </xf>
    <xf numFmtId="176" fontId="16" fillId="0" borderId="233" xfId="0" applyNumberFormat="1" applyFont="1" applyBorder="1" applyAlignment="1">
      <alignment vertical="center" shrinkToFit="1"/>
    </xf>
    <xf numFmtId="176" fontId="16" fillId="0" borderId="234" xfId="0" applyNumberFormat="1" applyFont="1" applyBorder="1" applyAlignment="1">
      <alignment vertical="center" shrinkToFit="1"/>
    </xf>
    <xf numFmtId="179" fontId="16" fillId="0" borderId="143" xfId="0" applyNumberFormat="1" applyFont="1" applyBorder="1" applyAlignment="1">
      <alignment horizontal="right" vertical="center" shrinkToFit="1"/>
    </xf>
    <xf numFmtId="179" fontId="16" fillId="0" borderId="67" xfId="0" applyNumberFormat="1" applyFont="1" applyBorder="1" applyAlignment="1">
      <alignment horizontal="right" vertical="center" shrinkToFit="1"/>
    </xf>
    <xf numFmtId="179" fontId="16" fillId="0" borderId="140" xfId="0" applyNumberFormat="1" applyFont="1" applyBorder="1" applyAlignment="1">
      <alignment horizontal="right" vertical="center" shrinkToFit="1"/>
    </xf>
    <xf numFmtId="179" fontId="16" fillId="0" borderId="2" xfId="0" applyNumberFormat="1" applyFont="1" applyBorder="1" applyAlignment="1">
      <alignment horizontal="right" vertical="center" shrinkToFit="1"/>
    </xf>
    <xf numFmtId="179" fontId="16" fillId="0" borderId="143" xfId="0" applyNumberFormat="1" applyFont="1" applyFill="1" applyBorder="1" applyAlignment="1">
      <alignment horizontal="right" vertical="center" shrinkToFit="1"/>
    </xf>
    <xf numFmtId="179" fontId="16" fillId="0" borderId="67" xfId="0" applyNumberFormat="1" applyFont="1" applyFill="1" applyBorder="1" applyAlignment="1">
      <alignment horizontal="right" vertical="center" shrinkToFit="1"/>
    </xf>
    <xf numFmtId="179" fontId="16" fillId="0" borderId="140" xfId="0" applyNumberFormat="1" applyFont="1" applyFill="1" applyBorder="1" applyAlignment="1">
      <alignment horizontal="right" vertical="center" shrinkToFit="1"/>
    </xf>
    <xf numFmtId="179" fontId="16" fillId="0" borderId="18" xfId="0" applyNumberFormat="1" applyFont="1" applyBorder="1" applyAlignment="1">
      <alignment horizontal="right" vertical="center" shrinkToFit="1"/>
    </xf>
    <xf numFmtId="179" fontId="16" fillId="0" borderId="235" xfId="0" applyNumberFormat="1" applyFont="1" applyBorder="1" applyAlignment="1">
      <alignment horizontal="right" vertical="center" shrinkToFit="1"/>
    </xf>
    <xf numFmtId="179" fontId="16" fillId="0" borderId="19" xfId="0" applyNumberFormat="1" applyFont="1" applyBorder="1" applyAlignment="1">
      <alignment horizontal="right" vertical="center" shrinkToFit="1"/>
    </xf>
    <xf numFmtId="179" fontId="16" fillId="0" borderId="70" xfId="0" applyNumberFormat="1" applyFont="1" applyBorder="1" applyAlignment="1">
      <alignment horizontal="right" vertical="center" shrinkToFit="1"/>
    </xf>
    <xf numFmtId="176" fontId="20" fillId="0" borderId="0" xfId="0" applyNumberFormat="1" applyFont="1" applyAlignment="1">
      <alignment horizontal="left" vertical="center" shrinkToFit="1"/>
    </xf>
    <xf numFmtId="0" fontId="8" fillId="0" borderId="166" xfId="0" applyFont="1" applyBorder="1" applyAlignment="1">
      <alignment horizontal="center" vertical="center" wrapText="1" shrinkToFit="1"/>
    </xf>
    <xf numFmtId="0" fontId="8" fillId="0" borderId="167" xfId="0" applyFont="1" applyBorder="1" applyAlignment="1">
      <alignment horizontal="center" vertical="center" shrinkToFit="1"/>
    </xf>
    <xf numFmtId="0" fontId="8" fillId="0" borderId="166" xfId="0" applyFont="1" applyBorder="1" applyAlignment="1">
      <alignment horizontal="center" vertical="center" shrinkToFit="1"/>
    </xf>
    <xf numFmtId="0" fontId="8" fillId="0" borderId="169" xfId="0" applyFont="1" applyBorder="1" applyAlignment="1">
      <alignment horizontal="center" vertical="center" shrinkToFit="1"/>
    </xf>
    <xf numFmtId="0" fontId="8" fillId="0" borderId="99" xfId="0" quotePrefix="1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1" fillId="0" borderId="101" xfId="0" applyFont="1" applyBorder="1" applyAlignment="1">
      <alignment horizontal="center" vertical="center" shrinkToFit="1"/>
    </xf>
    <xf numFmtId="0" fontId="1" fillId="0" borderId="102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0" fillId="0" borderId="47" xfId="2" applyFont="1" applyBorder="1" applyAlignment="1">
      <alignment vertical="center" wrapText="1"/>
    </xf>
    <xf numFmtId="0" fontId="1" fillId="0" borderId="47" xfId="2" applyFont="1" applyBorder="1" applyAlignment="1">
      <alignment vertical="center" wrapText="1"/>
    </xf>
    <xf numFmtId="0" fontId="1" fillId="0" borderId="63" xfId="2" applyFont="1" applyBorder="1" applyAlignment="1">
      <alignment vertical="center" wrapText="1"/>
    </xf>
    <xf numFmtId="0" fontId="1" fillId="0" borderId="97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1" xfId="2" applyFont="1" applyBorder="1" applyAlignment="1">
      <alignment vertical="center" wrapText="1"/>
    </xf>
    <xf numFmtId="0" fontId="1" fillId="0" borderId="40" xfId="2" applyFont="1" applyBorder="1" applyAlignment="1">
      <alignment horizontal="center" vertical="center"/>
    </xf>
    <xf numFmtId="0" fontId="1" fillId="0" borderId="62" xfId="2" applyFont="1" applyBorder="1" applyAlignment="1">
      <alignment horizontal="center" vertical="center"/>
    </xf>
    <xf numFmtId="0" fontId="1" fillId="0" borderId="47" xfId="2" applyFont="1" applyBorder="1" applyAlignment="1">
      <alignment horizontal="center" vertical="center"/>
    </xf>
    <xf numFmtId="0" fontId="1" fillId="0" borderId="98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1" fillId="0" borderId="48" xfId="2" applyFont="1" applyBorder="1" applyAlignment="1">
      <alignment horizontal="center" vertical="center"/>
    </xf>
    <xf numFmtId="0" fontId="0" fillId="0" borderId="35" xfId="2" applyFont="1" applyBorder="1" applyAlignment="1">
      <alignment vertical="center" wrapText="1"/>
    </xf>
    <xf numFmtId="0" fontId="1" fillId="0" borderId="36" xfId="2" applyFont="1" applyBorder="1" applyAlignment="1">
      <alignment vertical="center" wrapText="1"/>
    </xf>
    <xf numFmtId="0" fontId="1" fillId="0" borderId="38" xfId="2" applyFont="1" applyBorder="1" applyAlignment="1">
      <alignment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1" fillId="0" borderId="93" xfId="2" applyFont="1" applyBorder="1" applyAlignment="1">
      <alignment horizontal="center" vertical="center"/>
    </xf>
    <xf numFmtId="0" fontId="1" fillId="0" borderId="94" xfId="2" applyFont="1" applyBorder="1" applyAlignment="1">
      <alignment horizontal="center" vertical="center"/>
    </xf>
    <xf numFmtId="0" fontId="1" fillId="0" borderId="95" xfId="2" applyFont="1" applyBorder="1" applyAlignment="1">
      <alignment horizontal="center" vertical="center"/>
    </xf>
    <xf numFmtId="0" fontId="1" fillId="0" borderId="96" xfId="2" applyFont="1" applyBorder="1" applyAlignment="1">
      <alignment horizontal="center" vertical="center"/>
    </xf>
    <xf numFmtId="0" fontId="0" fillId="0" borderId="48" xfId="2" applyFont="1" applyBorder="1" applyAlignment="1">
      <alignment vertical="center" wrapText="1"/>
    </xf>
    <xf numFmtId="0" fontId="1" fillId="0" borderId="48" xfId="2" applyFont="1" applyBorder="1" applyAlignment="1">
      <alignment vertical="center" wrapText="1"/>
    </xf>
    <xf numFmtId="0" fontId="1" fillId="0" borderId="66" xfId="2" applyFont="1" applyBorder="1" applyAlignment="1">
      <alignment vertical="center" wrapText="1"/>
    </xf>
    <xf numFmtId="0" fontId="8" fillId="0" borderId="59" xfId="2" applyFont="1" applyBorder="1" applyAlignment="1">
      <alignment horizontal="center" vertical="center" wrapText="1"/>
    </xf>
    <xf numFmtId="0" fontId="8" fillId="0" borderId="57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left" vertical="center" wrapText="1" indent="1"/>
    </xf>
    <xf numFmtId="0" fontId="8" fillId="0" borderId="14" xfId="2" applyFont="1" applyBorder="1" applyAlignment="1">
      <alignment horizontal="left" vertical="center" wrapText="1" indent="1"/>
    </xf>
    <xf numFmtId="0" fontId="8" fillId="0" borderId="5" xfId="2" applyFont="1" applyBorder="1" applyAlignment="1">
      <alignment horizontal="center" vertical="center" wrapText="1"/>
    </xf>
    <xf numFmtId="0" fontId="8" fillId="0" borderId="85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5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left" vertical="center" wrapText="1"/>
    </xf>
    <xf numFmtId="0" fontId="8" fillId="0" borderId="14" xfId="2" applyFont="1" applyBorder="1" applyAlignment="1">
      <alignment horizontal="left" vertical="center" wrapText="1"/>
    </xf>
    <xf numFmtId="0" fontId="8" fillId="0" borderId="34" xfId="2" applyFont="1" applyBorder="1" applyAlignment="1">
      <alignment horizontal="right" vertical="center" wrapText="1"/>
    </xf>
    <xf numFmtId="0" fontId="8" fillId="0" borderId="39" xfId="2" applyFont="1" applyBorder="1" applyAlignment="1">
      <alignment horizontal="right" vertical="center" wrapText="1"/>
    </xf>
    <xf numFmtId="0" fontId="8" fillId="0" borderId="40" xfId="2" applyFont="1" applyBorder="1" applyAlignment="1">
      <alignment horizontal="right" vertical="center" wrapText="1"/>
    </xf>
    <xf numFmtId="0" fontId="8" fillId="0" borderId="86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1" fillId="0" borderId="87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78" xfId="2" applyFont="1" applyBorder="1" applyAlignment="1">
      <alignment horizontal="center" vertical="center" textRotation="255" shrinkToFit="1"/>
    </xf>
    <xf numFmtId="0" fontId="8" fillId="0" borderId="57" xfId="2" applyFont="1" applyBorder="1" applyAlignment="1">
      <alignment horizontal="center" vertical="center" textRotation="255" shrinkToFit="1"/>
    </xf>
    <xf numFmtId="0" fontId="8" fillId="0" borderId="79" xfId="2" applyFont="1" applyBorder="1" applyAlignment="1">
      <alignment horizontal="center" vertical="center" textRotation="255" shrinkToFit="1"/>
    </xf>
    <xf numFmtId="0" fontId="1" fillId="0" borderId="10" xfId="2" applyFont="1" applyBorder="1" applyAlignment="1">
      <alignment horizontal="left" vertical="center" wrapText="1" indent="1"/>
    </xf>
    <xf numFmtId="0" fontId="1" fillId="0" borderId="0" xfId="2" applyFont="1" applyBorder="1" applyAlignment="1">
      <alignment horizontal="left" vertical="center" wrapText="1" inden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50" xfId="2" applyFont="1" applyBorder="1" applyAlignment="1">
      <alignment horizontal="left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1" fillId="0" borderId="163" xfId="2" applyFont="1" applyBorder="1" applyAlignment="1">
      <alignment horizontal="left" vertical="center" wrapText="1"/>
    </xf>
    <xf numFmtId="0" fontId="0" fillId="0" borderId="156" xfId="2" applyFont="1" applyBorder="1" applyAlignment="1">
      <alignment horizontal="right" vertical="center" wrapText="1"/>
    </xf>
    <xf numFmtId="0" fontId="1" fillId="0" borderId="163" xfId="2" applyFont="1" applyBorder="1" applyAlignment="1">
      <alignment horizontal="right" vertical="center" wrapText="1"/>
    </xf>
    <xf numFmtId="0" fontId="1" fillId="0" borderId="50" xfId="2" applyFont="1" applyBorder="1" applyAlignment="1">
      <alignment horizontal="right" vertical="center" wrapText="1"/>
    </xf>
    <xf numFmtId="0" fontId="8" fillId="0" borderId="25" xfId="2" applyFont="1" applyBorder="1" applyAlignment="1">
      <alignment horizontal="right" vertical="center" wrapText="1"/>
    </xf>
    <xf numFmtId="0" fontId="8" fillId="0" borderId="26" xfId="2" applyFont="1" applyBorder="1" applyAlignment="1">
      <alignment horizontal="right" vertical="center" wrapText="1"/>
    </xf>
    <xf numFmtId="0" fontId="8" fillId="0" borderId="114" xfId="2" applyFont="1" applyBorder="1" applyAlignment="1">
      <alignment horizontal="right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0" fontId="8" fillId="0" borderId="85" xfId="2" applyFont="1" applyBorder="1" applyAlignment="1">
      <alignment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1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0" fontId="8" fillId="0" borderId="50" xfId="2" applyFont="1" applyBorder="1" applyAlignment="1">
      <alignment horizontal="center" vertical="center" wrapText="1"/>
    </xf>
    <xf numFmtId="0" fontId="8" fillId="0" borderId="86" xfId="2" applyFont="1" applyBorder="1" applyAlignment="1">
      <alignment horizontal="center" vertical="center" textRotation="255" wrapText="1"/>
    </xf>
    <xf numFmtId="0" fontId="8" fillId="0" borderId="110" xfId="2" applyFont="1" applyBorder="1" applyAlignment="1">
      <alignment horizontal="center" vertical="center" wrapText="1"/>
    </xf>
    <xf numFmtId="0" fontId="8" fillId="0" borderId="56" xfId="2" applyFont="1" applyBorder="1" applyAlignment="1">
      <alignment horizontal="center" vertical="center" wrapText="1"/>
    </xf>
    <xf numFmtId="0" fontId="1" fillId="0" borderId="82" xfId="2" applyFont="1" applyBorder="1" applyAlignment="1">
      <alignment horizontal="center" vertical="center"/>
    </xf>
    <xf numFmtId="0" fontId="1" fillId="0" borderId="83" xfId="2" applyFont="1" applyBorder="1" applyAlignment="1">
      <alignment horizontal="center" vertical="center"/>
    </xf>
    <xf numFmtId="0" fontId="1" fillId="0" borderId="72" xfId="2" applyFont="1" applyBorder="1" applyAlignment="1">
      <alignment horizontal="center" vertical="center"/>
    </xf>
    <xf numFmtId="0" fontId="1" fillId="0" borderId="50" xfId="2" applyFont="1" applyBorder="1" applyAlignment="1">
      <alignment horizontal="center" vertical="center"/>
    </xf>
    <xf numFmtId="0" fontId="0" fillId="3" borderId="96" xfId="0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4" borderId="208" xfId="0" applyFont="1" applyFill="1" applyBorder="1" applyAlignment="1">
      <alignment horizontal="center" vertical="center" wrapText="1"/>
    </xf>
    <xf numFmtId="0" fontId="0" fillId="4" borderId="42" xfId="0" applyFont="1" applyFill="1" applyBorder="1" applyAlignment="1">
      <alignment horizontal="center" vertical="center" wrapText="1"/>
    </xf>
    <xf numFmtId="0" fontId="0" fillId="4" borderId="136" xfId="0" applyFont="1" applyFill="1" applyBorder="1" applyAlignment="1">
      <alignment horizontal="center" vertical="center" wrapText="1"/>
    </xf>
    <xf numFmtId="0" fontId="0" fillId="0" borderId="208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48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4" borderId="45" xfId="0" applyFont="1" applyFill="1" applyBorder="1" applyAlignment="1">
      <alignment horizontal="center" vertical="center"/>
    </xf>
    <xf numFmtId="0" fontId="0" fillId="4" borderId="62" xfId="0" applyFont="1" applyFill="1" applyBorder="1" applyAlignment="1">
      <alignment horizontal="center" vertical="center"/>
    </xf>
    <xf numFmtId="0" fontId="0" fillId="3" borderId="181" xfId="0" applyFont="1" applyFill="1" applyBorder="1" applyAlignment="1">
      <alignment horizontal="center" vertical="center"/>
    </xf>
    <xf numFmtId="0" fontId="0" fillId="3" borderId="182" xfId="0" applyFont="1" applyFill="1" applyBorder="1" applyAlignment="1">
      <alignment horizontal="center" vertical="center"/>
    </xf>
    <xf numFmtId="0" fontId="0" fillId="0" borderId="104" xfId="0" applyFont="1" applyBorder="1" applyAlignment="1">
      <alignment horizontal="center" vertical="center" textRotation="255"/>
    </xf>
    <xf numFmtId="0" fontId="0" fillId="0" borderId="44" xfId="0" applyFont="1" applyBorder="1" applyAlignment="1">
      <alignment horizontal="center" vertical="center" textRotation="255"/>
    </xf>
    <xf numFmtId="0" fontId="0" fillId="4" borderId="48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4" borderId="46" xfId="0" applyFont="1" applyFill="1" applyBorder="1" applyAlignment="1">
      <alignment horizontal="center" vertical="center"/>
    </xf>
    <xf numFmtId="0" fontId="0" fillId="0" borderId="200" xfId="0" applyFont="1" applyBorder="1" applyAlignment="1">
      <alignment horizontal="center" vertical="center"/>
    </xf>
    <xf numFmtId="0" fontId="0" fillId="0" borderId="201" xfId="0" applyFont="1" applyBorder="1" applyAlignment="1">
      <alignment horizontal="center" vertical="center"/>
    </xf>
    <xf numFmtId="0" fontId="0" fillId="0" borderId="44" xfId="0" applyFont="1" applyBorder="1" applyAlignment="1">
      <alignment vertical="center"/>
    </xf>
    <xf numFmtId="0" fontId="0" fillId="0" borderId="106" xfId="0" applyFont="1" applyBorder="1" applyAlignment="1">
      <alignment vertical="center"/>
    </xf>
    <xf numFmtId="180" fontId="0" fillId="0" borderId="202" xfId="1" applyNumberFormat="1" applyFont="1" applyBorder="1" applyAlignment="1">
      <alignment horizontal="center" vertical="center"/>
    </xf>
    <xf numFmtId="0" fontId="0" fillId="0" borderId="203" xfId="0" applyFont="1" applyBorder="1" applyAlignment="1">
      <alignment vertical="center"/>
    </xf>
    <xf numFmtId="0" fontId="0" fillId="4" borderId="208" xfId="0" applyFont="1" applyFill="1" applyBorder="1" applyAlignment="1">
      <alignment horizontal="center" vertical="center" textRotation="255" wrapText="1"/>
    </xf>
    <xf numFmtId="0" fontId="0" fillId="0" borderId="42" xfId="0" applyFont="1" applyBorder="1" applyAlignment="1">
      <alignment horizontal="center" vertical="center" textRotation="255" wrapText="1"/>
    </xf>
    <xf numFmtId="0" fontId="0" fillId="0" borderId="209" xfId="0" applyFont="1" applyBorder="1" applyAlignment="1">
      <alignment horizontal="center" vertical="center" textRotation="255" wrapText="1"/>
    </xf>
    <xf numFmtId="0" fontId="0" fillId="0" borderId="208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0" borderId="208" xfId="0" applyFont="1" applyBorder="1" applyAlignment="1">
      <alignment vertical="center" wrapText="1"/>
    </xf>
    <xf numFmtId="0" fontId="0" fillId="0" borderId="42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3" borderId="126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0" fillId="0" borderId="200" xfId="0" applyFont="1" applyBorder="1" applyAlignment="1">
      <alignment horizontal="center" vertical="center" textRotation="255"/>
    </xf>
    <xf numFmtId="0" fontId="0" fillId="0" borderId="175" xfId="0" applyFont="1" applyBorder="1" applyAlignment="1">
      <alignment horizontal="center" vertical="center" textRotation="255"/>
    </xf>
    <xf numFmtId="176" fontId="16" fillId="0" borderId="87" xfId="0" applyNumberFormat="1" applyFont="1" applyBorder="1" applyAlignment="1">
      <alignment horizontal="center" vertical="center" shrinkToFit="1"/>
    </xf>
    <xf numFmtId="0" fontId="19" fillId="0" borderId="13" xfId="2" applyFont="1" applyBorder="1" applyAlignment="1">
      <alignment horizontal="left" vertical="center" shrinkToFit="1"/>
    </xf>
    <xf numFmtId="0" fontId="19" fillId="0" borderId="14" xfId="2" applyFont="1" applyBorder="1" applyAlignment="1">
      <alignment horizontal="left" vertical="center" shrinkToFit="1"/>
    </xf>
    <xf numFmtId="0" fontId="19" fillId="0" borderId="50" xfId="2" applyFont="1" applyBorder="1" applyAlignment="1">
      <alignment horizontal="left" vertical="center" shrinkToFit="1"/>
    </xf>
    <xf numFmtId="0" fontId="19" fillId="0" borderId="34" xfId="2" applyFont="1" applyBorder="1" applyAlignment="1">
      <alignment horizontal="right" vertical="center" shrinkToFit="1"/>
    </xf>
    <xf numFmtId="0" fontId="19" fillId="0" borderId="39" xfId="2" applyFont="1" applyBorder="1" applyAlignment="1">
      <alignment horizontal="right" vertical="center" shrinkToFit="1"/>
    </xf>
    <xf numFmtId="0" fontId="19" fillId="0" borderId="40" xfId="2" applyFont="1" applyBorder="1" applyAlignment="1">
      <alignment horizontal="right" vertical="center" shrinkToFit="1"/>
    </xf>
    <xf numFmtId="0" fontId="19" fillId="0" borderId="25" xfId="2" applyFont="1" applyBorder="1" applyAlignment="1">
      <alignment horizontal="right" vertical="center" shrinkToFit="1"/>
    </xf>
    <xf numFmtId="0" fontId="19" fillId="0" borderId="26" xfId="2" applyFont="1" applyBorder="1" applyAlignment="1">
      <alignment horizontal="right" vertical="center" shrinkToFit="1"/>
    </xf>
    <xf numFmtId="0" fontId="19" fillId="0" borderId="114" xfId="2" applyFont="1" applyBorder="1" applyAlignment="1">
      <alignment horizontal="right" vertical="center" shrinkToFit="1"/>
    </xf>
    <xf numFmtId="176" fontId="0" fillId="0" borderId="119" xfId="0" applyNumberFormat="1" applyFont="1" applyBorder="1" applyAlignment="1">
      <alignment horizontal="center" vertical="center" shrinkToFit="1"/>
    </xf>
    <xf numFmtId="176" fontId="0" fillId="0" borderId="84" xfId="0" applyNumberFormat="1" applyFont="1" applyBorder="1" applyAlignment="1">
      <alignment horizontal="center" vertical="center" shrinkToFit="1"/>
    </xf>
    <xf numFmtId="176" fontId="0" fillId="0" borderId="59" xfId="0" applyNumberFormat="1" applyFont="1" applyBorder="1" applyAlignment="1">
      <alignment horizontal="center" vertical="center" textRotation="255" shrinkToFit="1"/>
    </xf>
    <xf numFmtId="176" fontId="0" fillId="0" borderId="57" xfId="0" applyNumberFormat="1" applyFont="1" applyBorder="1" applyAlignment="1">
      <alignment horizontal="center" vertical="center" textRotation="255" shrinkToFit="1"/>
    </xf>
    <xf numFmtId="176" fontId="0" fillId="0" borderId="79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78" xfId="0" applyNumberFormat="1" applyFont="1" applyBorder="1" applyAlignment="1">
      <alignment horizontal="center" vertical="center" shrinkToFit="1"/>
    </xf>
    <xf numFmtId="176" fontId="0" fillId="0" borderId="79" xfId="0" applyNumberFormat="1" applyFont="1" applyBorder="1" applyAlignment="1">
      <alignment horizontal="center" vertical="center" shrinkToFit="1"/>
    </xf>
    <xf numFmtId="176" fontId="0" fillId="0" borderId="71" xfId="0" applyNumberFormat="1" applyFont="1" applyBorder="1" applyAlignment="1">
      <alignment horizontal="center" vertical="center" shrinkToFit="1"/>
    </xf>
    <xf numFmtId="176" fontId="0" fillId="0" borderId="80" xfId="0" applyNumberFormat="1" applyFont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23" xfId="0" applyNumberFormat="1" applyFont="1" applyBorder="1" applyAlignment="1">
      <alignment vertical="center"/>
    </xf>
    <xf numFmtId="177" fontId="0" fillId="0" borderId="131" xfId="0" applyNumberFormat="1" applyFont="1" applyBorder="1" applyAlignment="1">
      <alignment vertical="center"/>
    </xf>
    <xf numFmtId="177" fontId="0" fillId="0" borderId="145" xfId="0" applyNumberFormat="1" applyFont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0" fontId="0" fillId="6" borderId="45" xfId="0" applyFill="1" applyBorder="1" applyAlignment="1">
      <alignment horizontal="left" vertical="center"/>
    </xf>
    <xf numFmtId="0" fontId="0" fillId="6" borderId="62" xfId="0" applyFont="1" applyFill="1" applyBorder="1" applyAlignment="1">
      <alignment horizontal="left" vertical="center"/>
    </xf>
    <xf numFmtId="177" fontId="0" fillId="2" borderId="134" xfId="0" applyNumberFormat="1" applyFill="1" applyBorder="1" applyAlignment="1">
      <alignment horizontal="center" vertical="center" shrinkToFit="1"/>
    </xf>
    <xf numFmtId="177" fontId="0" fillId="2" borderId="135" xfId="0" applyNumberFormat="1" applyFill="1" applyBorder="1" applyAlignment="1">
      <alignment horizontal="center" vertical="center" shrinkToFit="1"/>
    </xf>
    <xf numFmtId="177" fontId="0" fillId="0" borderId="137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38" xfId="0" applyNumberFormat="1" applyBorder="1" applyAlignment="1">
      <alignment horizontal="center" vertical="center" textRotation="255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76" xfId="0" applyNumberFormat="1" applyFill="1" applyBorder="1" applyAlignment="1">
      <alignment horizontal="center" vertical="center" textRotation="255" shrinkToFit="1"/>
    </xf>
    <xf numFmtId="0" fontId="0" fillId="0" borderId="133" xfId="0" applyFill="1" applyBorder="1" applyAlignment="1">
      <alignment horizontal="center" vertical="center" textRotation="255" wrapText="1"/>
    </xf>
    <xf numFmtId="0" fontId="0" fillId="0" borderId="42" xfId="0" applyFill="1" applyBorder="1" applyAlignment="1">
      <alignment horizontal="center" vertical="center" textRotation="255" wrapText="1"/>
    </xf>
    <xf numFmtId="0" fontId="0" fillId="0" borderId="76" xfId="0" applyFill="1" applyBorder="1" applyAlignment="1">
      <alignment horizontal="center" vertical="center" textRotation="255" wrapTex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4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0" fontId="0" fillId="0" borderId="41" xfId="0" applyFont="1" applyBorder="1" applyAlignment="1">
      <alignment vertical="center"/>
    </xf>
    <xf numFmtId="177" fontId="0" fillId="0" borderId="86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5" xfId="0" applyNumberFormat="1" applyFont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8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08" xfId="0" applyNumberFormat="1" applyFont="1" applyFill="1" applyBorder="1" applyAlignment="1">
      <alignment horizontal="center" vertical="center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87" xfId="0" applyNumberFormat="1" applyFill="1" applyBorder="1" applyAlignment="1">
      <alignment vertical="center"/>
    </xf>
    <xf numFmtId="0" fontId="0" fillId="0" borderId="87" xfId="0" applyFont="1" applyFill="1" applyBorder="1" applyAlignment="1">
      <alignment vertical="center"/>
    </xf>
    <xf numFmtId="0" fontId="0" fillId="0" borderId="74" xfId="0" applyFont="1" applyFill="1" applyBorder="1" applyAlignment="1">
      <alignment vertical="center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08" xfId="0" applyNumberFormat="1" applyFont="1" applyFill="1" applyBorder="1" applyAlignment="1">
      <alignment horizontal="center" vertical="center"/>
    </xf>
    <xf numFmtId="177" fontId="0" fillId="0" borderId="125" xfId="0" applyNumberFormat="1" applyBorder="1" applyAlignment="1">
      <alignment horizontal="center" vertical="center" textRotation="255" shrinkToFit="1"/>
    </xf>
    <xf numFmtId="177" fontId="0" fillId="0" borderId="57" xfId="0" applyNumberFormat="1" applyBorder="1" applyAlignment="1">
      <alignment horizontal="center" vertical="center" textRotation="255" shrinkToFit="1"/>
    </xf>
    <xf numFmtId="177" fontId="0" fillId="0" borderId="33" xfId="0" applyNumberFormat="1" applyBorder="1" applyAlignment="1">
      <alignment horizontal="center" vertical="center" textRotation="255" shrinkToFit="1"/>
    </xf>
    <xf numFmtId="177" fontId="0" fillId="0" borderId="156" xfId="0" applyNumberFormat="1" applyFill="1" applyBorder="1" applyAlignment="1">
      <alignment horizontal="center" vertical="center" shrinkToFit="1"/>
    </xf>
    <xf numFmtId="177" fontId="0" fillId="0" borderId="163" xfId="0" applyNumberFormat="1" applyFill="1" applyBorder="1" applyAlignment="1">
      <alignment horizontal="center" vertical="center" shrinkToFit="1"/>
    </xf>
    <xf numFmtId="177" fontId="0" fillId="0" borderId="164" xfId="0" applyNumberFormat="1" applyFill="1" applyBorder="1" applyAlignment="1">
      <alignment horizontal="center" vertical="center" shrinkToFit="1"/>
    </xf>
    <xf numFmtId="0" fontId="0" fillId="6" borderId="45" xfId="0" applyFill="1" applyBorder="1" applyAlignment="1">
      <alignment horizontal="left" vertical="center" shrinkToFit="1"/>
    </xf>
    <xf numFmtId="0" fontId="0" fillId="6" borderId="229" xfId="0" applyFont="1" applyFill="1" applyBorder="1" applyAlignment="1">
      <alignment horizontal="left" vertical="center" shrinkToFit="1"/>
    </xf>
    <xf numFmtId="176" fontId="0" fillId="0" borderId="24" xfId="0" applyNumberFormat="1" applyFont="1" applyBorder="1" applyAlignment="1">
      <alignment horizontal="center" vertical="center" textRotation="255" shrinkToFit="1"/>
    </xf>
    <xf numFmtId="176" fontId="0" fillId="0" borderId="24" xfId="0" applyNumberFormat="1" applyFont="1" applyBorder="1" applyAlignment="1">
      <alignment horizontal="center" vertical="center" textRotation="255"/>
    </xf>
    <xf numFmtId="176" fontId="0" fillId="0" borderId="155" xfId="0" applyNumberFormat="1" applyFont="1" applyBorder="1" applyAlignment="1">
      <alignment horizontal="center" vertical="center" textRotation="255"/>
    </xf>
    <xf numFmtId="176" fontId="0" fillId="0" borderId="42" xfId="0" applyNumberFormat="1" applyFont="1" applyBorder="1" applyAlignment="1">
      <alignment horizontal="center" vertical="center" textRotation="255"/>
    </xf>
    <xf numFmtId="176" fontId="0" fillId="0" borderId="48" xfId="0" applyNumberFormat="1" applyFont="1" applyBorder="1" applyAlignment="1">
      <alignment horizontal="center" vertical="center" textRotation="255"/>
    </xf>
    <xf numFmtId="177" fontId="0" fillId="2" borderId="157" xfId="0" applyNumberFormat="1" applyFont="1" applyFill="1" applyBorder="1" applyAlignment="1">
      <alignment horizontal="center" vertical="center" shrinkToFit="1"/>
    </xf>
    <xf numFmtId="177" fontId="0" fillId="2" borderId="158" xfId="0" applyNumberFormat="1" applyFont="1" applyFill="1" applyBorder="1" applyAlignment="1">
      <alignment horizontal="center" vertical="center" shrinkToFit="1"/>
    </xf>
    <xf numFmtId="3" fontId="0" fillId="0" borderId="52" xfId="5" applyNumberFormat="1" applyFont="1" applyFill="1" applyBorder="1" applyAlignment="1">
      <alignment horizontal="center" vertical="center" shrinkToFit="1"/>
    </xf>
    <xf numFmtId="3" fontId="0" fillId="0" borderId="42" xfId="5" applyNumberFormat="1" applyFont="1" applyFill="1" applyBorder="1" applyAlignment="1">
      <alignment horizontal="center" vertical="center" shrinkToFit="1"/>
    </xf>
    <xf numFmtId="3" fontId="0" fillId="0" borderId="129" xfId="5" applyNumberFormat="1" applyFont="1" applyFill="1" applyBorder="1" applyAlignment="1">
      <alignment horizontal="center" vertical="center" shrinkToFit="1"/>
    </xf>
    <xf numFmtId="177" fontId="0" fillId="0" borderId="161" xfId="3" applyNumberFormat="1" applyFont="1" applyBorder="1" applyAlignment="1">
      <alignment horizontal="center" vertical="center" shrinkToFit="1"/>
    </xf>
    <xf numFmtId="177" fontId="0" fillId="0" borderId="104" xfId="3" applyNumberFormat="1" applyFont="1" applyBorder="1" applyAlignment="1">
      <alignment horizontal="center" vertical="center" shrinkToFit="1"/>
    </xf>
    <xf numFmtId="177" fontId="0" fillId="0" borderId="162" xfId="3" applyNumberFormat="1" applyFont="1" applyBorder="1" applyAlignment="1">
      <alignment horizontal="center" vertical="center" shrinkToFit="1"/>
    </xf>
    <xf numFmtId="177" fontId="0" fillId="2" borderId="82" xfId="0" applyNumberFormat="1" applyFont="1" applyFill="1" applyBorder="1" applyAlignment="1">
      <alignment horizontal="center" vertical="center" shrinkToFit="1"/>
    </xf>
    <xf numFmtId="177" fontId="0" fillId="2" borderId="83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6" fontId="0" fillId="2" borderId="51" xfId="0" applyNumberFormat="1" applyFont="1" applyFill="1" applyBorder="1" applyAlignment="1">
      <alignment vertical="center" shrinkToFit="1"/>
    </xf>
    <xf numFmtId="176" fontId="0" fillId="0" borderId="51" xfId="0" applyNumberFormat="1" applyFont="1" applyBorder="1" applyAlignment="1">
      <alignment vertical="center"/>
    </xf>
    <xf numFmtId="176" fontId="0" fillId="2" borderId="123" xfId="0" applyNumberFormat="1" applyFont="1" applyFill="1" applyBorder="1" applyAlignment="1">
      <alignment horizontal="center" vertical="center" shrinkToFit="1"/>
    </xf>
    <xf numFmtId="176" fontId="0" fillId="2" borderId="83" xfId="0" applyNumberFormat="1" applyFont="1" applyFill="1" applyBorder="1" applyAlignment="1">
      <alignment horizontal="center" vertical="center" shrinkToFit="1"/>
    </xf>
    <xf numFmtId="177" fontId="0" fillId="0" borderId="147" xfId="3" applyNumberFormat="1" applyFont="1" applyBorder="1" applyAlignment="1">
      <alignment horizontal="center" vertical="center" textRotation="255" shrinkToFit="1"/>
    </xf>
    <xf numFmtId="0" fontId="0" fillId="0" borderId="104" xfId="0" applyFont="1" applyBorder="1">
      <alignment vertical="center"/>
    </xf>
    <xf numFmtId="0" fontId="0" fillId="0" borderId="154" xfId="0" applyFont="1" applyBorder="1">
      <alignment vertical="center"/>
    </xf>
    <xf numFmtId="177" fontId="0" fillId="0" borderId="147" xfId="3" applyNumberFormat="1" applyFont="1" applyBorder="1" applyAlignment="1">
      <alignment horizontal="center" vertical="center" shrinkToFit="1"/>
    </xf>
    <xf numFmtId="177" fontId="0" fillId="0" borderId="154" xfId="3" applyNumberFormat="1" applyFont="1" applyBorder="1" applyAlignment="1">
      <alignment horizontal="center" vertical="center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50" xfId="0" applyNumberFormat="1" applyFont="1" applyBorder="1" applyAlignment="1">
      <alignment horizontal="center" vertical="center" shrinkToFit="1"/>
    </xf>
    <xf numFmtId="176" fontId="0" fillId="0" borderId="126" xfId="0" applyNumberFormat="1" applyFont="1" applyBorder="1" applyAlignment="1">
      <alignment horizontal="center" vertical="center" shrinkToFit="1"/>
    </xf>
    <xf numFmtId="176" fontId="0" fillId="0" borderId="129" xfId="0" applyNumberFormat="1" applyFont="1" applyBorder="1" applyAlignment="1">
      <alignment horizontal="center" vertical="center" shrinkToFit="1"/>
    </xf>
    <xf numFmtId="176" fontId="0" fillId="0" borderId="127" xfId="0" applyNumberFormat="1" applyFont="1" applyBorder="1" applyAlignment="1">
      <alignment horizontal="center" vertical="center" shrinkToFit="1"/>
    </xf>
    <xf numFmtId="176" fontId="0" fillId="0" borderId="130" xfId="0" applyNumberFormat="1" applyFont="1" applyBorder="1" applyAlignment="1">
      <alignment horizontal="center" vertical="center" shrinkToFit="1"/>
    </xf>
    <xf numFmtId="177" fontId="0" fillId="2" borderId="123" xfId="0" applyNumberFormat="1" applyFont="1" applyFill="1" applyBorder="1" applyAlignment="1">
      <alignment horizontal="center" vertical="center" shrinkToFit="1"/>
    </xf>
    <xf numFmtId="176" fontId="0" fillId="0" borderId="125" xfId="0" applyNumberFormat="1" applyFont="1" applyBorder="1" applyAlignment="1">
      <alignment horizontal="center" vertical="center" textRotation="255" shrinkToFit="1"/>
    </xf>
    <xf numFmtId="176" fontId="0" fillId="0" borderId="120" xfId="0" applyNumberFormat="1" applyFont="1" applyBorder="1" applyAlignment="1">
      <alignment horizontal="center" vertical="center" textRotation="255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6" fontId="0" fillId="0" borderId="105" xfId="0" applyNumberFormat="1" applyFont="1" applyBorder="1" applyAlignment="1">
      <alignment horizontal="center" vertical="center" textRotation="255" shrinkToFit="1"/>
    </xf>
    <xf numFmtId="176" fontId="0" fillId="0" borderId="128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6" fontId="0" fillId="0" borderId="139" xfId="0" applyNumberFormat="1" applyFont="1" applyBorder="1" applyAlignment="1">
      <alignment horizontal="center" vertical="center" textRotation="255" shrinkToFit="1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64" xfId="3" applyNumberFormat="1" applyFont="1" applyBorder="1" applyAlignment="1">
      <alignment horizontal="center" vertical="center" shrinkToFit="1"/>
    </xf>
    <xf numFmtId="177" fontId="0" fillId="0" borderId="37" xfId="3" applyNumberFormat="1" applyFont="1" applyBorder="1" applyAlignment="1">
      <alignment horizontal="center" vertical="center" shrinkToFit="1"/>
    </xf>
    <xf numFmtId="177" fontId="0" fillId="0" borderId="150" xfId="3" applyNumberFormat="1" applyFont="1" applyBorder="1" applyAlignment="1">
      <alignment horizontal="center" vertical="center" textRotation="255" shrinkToFit="1"/>
    </xf>
    <xf numFmtId="177" fontId="0" fillId="0" borderId="97" xfId="3" applyNumberFormat="1" applyFont="1" applyBorder="1" applyAlignment="1">
      <alignment horizontal="center" vertical="center" textRotation="255" shrinkToFit="1"/>
    </xf>
    <xf numFmtId="176" fontId="0" fillId="0" borderId="152" xfId="3" applyNumberFormat="1" applyFont="1" applyFill="1" applyBorder="1" applyAlignment="1">
      <alignment vertical="center" shrinkToFit="1"/>
    </xf>
    <xf numFmtId="176" fontId="0" fillId="0" borderId="153" xfId="3" applyNumberFormat="1" applyFont="1" applyFill="1" applyBorder="1" applyAlignment="1">
      <alignment vertical="center" shrinkToFit="1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40" xfId="3" applyNumberFormat="1" applyFont="1" applyFill="1" applyBorder="1" applyAlignment="1">
      <alignment vertical="center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40" xfId="0" applyNumberFormat="1" applyFont="1" applyFill="1" applyBorder="1" applyAlignment="1">
      <alignment vertical="center"/>
    </xf>
    <xf numFmtId="176" fontId="0" fillId="2" borderId="41" xfId="0" applyNumberFormat="1" applyFont="1" applyFill="1" applyBorder="1" applyAlignment="1">
      <alignment vertical="center" shrinkToFit="1"/>
    </xf>
    <xf numFmtId="176" fontId="0" fillId="0" borderId="41" xfId="0" applyNumberFormat="1" applyFont="1" applyBorder="1" applyAlignment="1">
      <alignment vertical="center"/>
    </xf>
    <xf numFmtId="176" fontId="0" fillId="0" borderId="151" xfId="0" applyNumberFormat="1" applyFont="1" applyBorder="1" applyAlignment="1">
      <alignment vertical="center"/>
    </xf>
    <xf numFmtId="177" fontId="0" fillId="0" borderId="148" xfId="3" applyNumberFormat="1" applyFont="1" applyBorder="1" applyAlignment="1">
      <alignment horizontal="center" vertical="center" textRotation="255" shrinkToFit="1"/>
    </xf>
    <xf numFmtId="176" fontId="0" fillId="0" borderId="24" xfId="0" applyNumberFormat="1" applyFont="1" applyBorder="1" applyAlignment="1">
      <alignment horizontal="center" vertical="center"/>
    </xf>
    <xf numFmtId="177" fontId="0" fillId="0" borderId="178" xfId="0" applyNumberFormat="1" applyBorder="1" applyAlignment="1">
      <alignment horizontal="center" vertical="center"/>
    </xf>
    <xf numFmtId="177" fontId="0" fillId="0" borderId="179" xfId="0" applyNumberFormat="1" applyBorder="1" applyAlignment="1">
      <alignment horizontal="center" vertical="center"/>
    </xf>
    <xf numFmtId="177" fontId="0" fillId="0" borderId="180" xfId="0" applyNumberFormat="1" applyBorder="1" applyAlignment="1">
      <alignment horizontal="center" vertical="center"/>
    </xf>
    <xf numFmtId="176" fontId="1" fillId="7" borderId="189" xfId="0" applyNumberFormat="1" applyFont="1" applyFill="1" applyBorder="1" applyAlignment="1">
      <alignment horizontal="center" vertical="center"/>
    </xf>
    <xf numFmtId="176" fontId="1" fillId="7" borderId="190" xfId="0" applyNumberFormat="1" applyFont="1" applyFill="1" applyBorder="1" applyAlignment="1">
      <alignment horizontal="center" vertical="center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9528</xdr:colOff>
      <xdr:row>20</xdr:row>
      <xdr:rowOff>0</xdr:rowOff>
    </xdr:from>
    <xdr:to>
      <xdr:col>28</xdr:col>
      <xdr:colOff>13747</xdr:colOff>
      <xdr:row>21</xdr:row>
      <xdr:rowOff>4350</xdr:rowOff>
    </xdr:to>
    <xdr:sp macro="" textlink="">
      <xdr:nvSpPr>
        <xdr:cNvPr id="5128" name="Rectangle 8" descr="10%"/>
        <xdr:cNvSpPr>
          <a:spLocks noChangeArrowheads="1"/>
        </xdr:cNvSpPr>
      </xdr:nvSpPr>
      <xdr:spPr bwMode="auto">
        <a:xfrm>
          <a:off x="8939216" y="5072063"/>
          <a:ext cx="540000" cy="254381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142875</xdr:colOff>
      <xdr:row>19</xdr:row>
      <xdr:rowOff>238124</xdr:rowOff>
    </xdr:from>
    <xdr:to>
      <xdr:col>2</xdr:col>
      <xdr:colOff>466725</xdr:colOff>
      <xdr:row>21</xdr:row>
      <xdr:rowOff>1587</xdr:rowOff>
    </xdr:to>
    <xdr:pic>
      <xdr:nvPicPr>
        <xdr:cNvPr id="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344" y="5036343"/>
          <a:ext cx="323850" cy="26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47624</xdr:colOff>
      <xdr:row>19</xdr:row>
      <xdr:rowOff>178594</xdr:rowOff>
    </xdr:from>
    <xdr:to>
      <xdr:col>10</xdr:col>
      <xdr:colOff>33337</xdr:colOff>
      <xdr:row>20</xdr:row>
      <xdr:rowOff>246063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6718" y="4976813"/>
          <a:ext cx="24765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257175</xdr:colOff>
      <xdr:row>12</xdr:row>
      <xdr:rowOff>142875</xdr:rowOff>
    </xdr:from>
    <xdr:to>
      <xdr:col>17</xdr:col>
      <xdr:colOff>28575</xdr:colOff>
      <xdr:row>12</xdr:row>
      <xdr:rowOff>142875</xdr:rowOff>
    </xdr:to>
    <xdr:sp macro="" textlink="">
      <xdr:nvSpPr>
        <xdr:cNvPr id="133" name="Line 2"/>
        <xdr:cNvSpPr>
          <a:spLocks noChangeShapeType="1"/>
        </xdr:cNvSpPr>
      </xdr:nvSpPr>
      <xdr:spPr bwMode="auto">
        <a:xfrm>
          <a:off x="6600825" y="3629025"/>
          <a:ext cx="57150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142875</xdr:rowOff>
    </xdr:from>
    <xdr:to>
      <xdr:col>17</xdr:col>
      <xdr:colOff>9525</xdr:colOff>
      <xdr:row>13</xdr:row>
      <xdr:rowOff>142875</xdr:rowOff>
    </xdr:to>
    <xdr:sp macro="" textlink="">
      <xdr:nvSpPr>
        <xdr:cNvPr id="134" name="Line 3"/>
        <xdr:cNvSpPr>
          <a:spLocks noChangeShapeType="1"/>
        </xdr:cNvSpPr>
      </xdr:nvSpPr>
      <xdr:spPr bwMode="auto">
        <a:xfrm>
          <a:off x="6610350" y="3876675"/>
          <a:ext cx="5429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14</xdr:row>
      <xdr:rowOff>142875</xdr:rowOff>
    </xdr:from>
    <xdr:to>
      <xdr:col>17</xdr:col>
      <xdr:colOff>9525</xdr:colOff>
      <xdr:row>14</xdr:row>
      <xdr:rowOff>142875</xdr:rowOff>
    </xdr:to>
    <xdr:sp macro="" textlink="">
      <xdr:nvSpPr>
        <xdr:cNvPr id="135" name="Line 4"/>
        <xdr:cNvSpPr>
          <a:spLocks noChangeShapeType="1"/>
        </xdr:cNvSpPr>
      </xdr:nvSpPr>
      <xdr:spPr bwMode="auto">
        <a:xfrm>
          <a:off x="6619875" y="4124325"/>
          <a:ext cx="53340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12</xdr:row>
      <xdr:rowOff>142875</xdr:rowOff>
    </xdr:from>
    <xdr:to>
      <xdr:col>26</xdr:col>
      <xdr:colOff>219075</xdr:colOff>
      <xdr:row>12</xdr:row>
      <xdr:rowOff>142875</xdr:rowOff>
    </xdr:to>
    <xdr:sp macro="" textlink="">
      <xdr:nvSpPr>
        <xdr:cNvPr id="136" name="Line 5"/>
        <xdr:cNvSpPr>
          <a:spLocks noChangeShapeType="1"/>
        </xdr:cNvSpPr>
      </xdr:nvSpPr>
      <xdr:spPr bwMode="auto">
        <a:xfrm>
          <a:off x="9010650" y="3629025"/>
          <a:ext cx="75247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47625</xdr:colOff>
      <xdr:row>14</xdr:row>
      <xdr:rowOff>142875</xdr:rowOff>
    </xdr:from>
    <xdr:to>
      <xdr:col>39</xdr:col>
      <xdr:colOff>9525</xdr:colOff>
      <xdr:row>14</xdr:row>
      <xdr:rowOff>142875</xdr:rowOff>
    </xdr:to>
    <xdr:sp macro="" textlink="">
      <xdr:nvSpPr>
        <xdr:cNvPr id="137" name="Line 6"/>
        <xdr:cNvSpPr>
          <a:spLocks noChangeShapeType="1"/>
        </xdr:cNvSpPr>
      </xdr:nvSpPr>
      <xdr:spPr bwMode="auto">
        <a:xfrm>
          <a:off x="11458575" y="4124325"/>
          <a:ext cx="156210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19050</xdr:colOff>
      <xdr:row>12</xdr:row>
      <xdr:rowOff>66675</xdr:rowOff>
    </xdr:from>
    <xdr:to>
      <xdr:col>11</xdr:col>
      <xdr:colOff>238125</xdr:colOff>
      <xdr:row>13</xdr:row>
      <xdr:rowOff>0</xdr:rowOff>
    </xdr:to>
    <xdr:pic>
      <xdr:nvPicPr>
        <xdr:cNvPr id="13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3552825"/>
          <a:ext cx="2190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9525</xdr:colOff>
      <xdr:row>12</xdr:row>
      <xdr:rowOff>66675</xdr:rowOff>
    </xdr:from>
    <xdr:to>
      <xdr:col>12</xdr:col>
      <xdr:colOff>238125</xdr:colOff>
      <xdr:row>13</xdr:row>
      <xdr:rowOff>0</xdr:rowOff>
    </xdr:to>
    <xdr:pic>
      <xdr:nvPicPr>
        <xdr:cNvPr id="13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3552825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9525</xdr:colOff>
      <xdr:row>12</xdr:row>
      <xdr:rowOff>66675</xdr:rowOff>
    </xdr:from>
    <xdr:to>
      <xdr:col>13</xdr:col>
      <xdr:colOff>238125</xdr:colOff>
      <xdr:row>13</xdr:row>
      <xdr:rowOff>0</xdr:rowOff>
    </xdr:to>
    <xdr:pic>
      <xdr:nvPicPr>
        <xdr:cNvPr id="14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3552825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38100</xdr:colOff>
      <xdr:row>12</xdr:row>
      <xdr:rowOff>142875</xdr:rowOff>
    </xdr:from>
    <xdr:to>
      <xdr:col>39</xdr:col>
      <xdr:colOff>0</xdr:colOff>
      <xdr:row>12</xdr:row>
      <xdr:rowOff>142875</xdr:rowOff>
    </xdr:to>
    <xdr:sp macro="" textlink="">
      <xdr:nvSpPr>
        <xdr:cNvPr id="141" name="Line 10"/>
        <xdr:cNvSpPr>
          <a:spLocks noChangeShapeType="1"/>
        </xdr:cNvSpPr>
      </xdr:nvSpPr>
      <xdr:spPr bwMode="auto">
        <a:xfrm>
          <a:off x="10382250" y="3629025"/>
          <a:ext cx="262890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257175</xdr:colOff>
      <xdr:row>13</xdr:row>
      <xdr:rowOff>142875</xdr:rowOff>
    </xdr:from>
    <xdr:to>
      <xdr:col>28</xdr:col>
      <xdr:colOff>238125</xdr:colOff>
      <xdr:row>13</xdr:row>
      <xdr:rowOff>142875</xdr:rowOff>
    </xdr:to>
    <xdr:sp macro="" textlink="">
      <xdr:nvSpPr>
        <xdr:cNvPr id="142" name="Line 11"/>
        <xdr:cNvSpPr>
          <a:spLocks noChangeShapeType="1"/>
        </xdr:cNvSpPr>
      </xdr:nvSpPr>
      <xdr:spPr bwMode="auto">
        <a:xfrm>
          <a:off x="9001125" y="3876675"/>
          <a:ext cx="13144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47625</xdr:colOff>
      <xdr:row>13</xdr:row>
      <xdr:rowOff>142875</xdr:rowOff>
    </xdr:from>
    <xdr:to>
      <xdr:col>39</xdr:col>
      <xdr:colOff>28575</xdr:colOff>
      <xdr:row>13</xdr:row>
      <xdr:rowOff>142875</xdr:rowOff>
    </xdr:to>
    <xdr:sp macro="" textlink="">
      <xdr:nvSpPr>
        <xdr:cNvPr id="143" name="Line 12"/>
        <xdr:cNvSpPr>
          <a:spLocks noChangeShapeType="1"/>
        </xdr:cNvSpPr>
      </xdr:nvSpPr>
      <xdr:spPr bwMode="auto">
        <a:xfrm>
          <a:off x="10925175" y="3876675"/>
          <a:ext cx="211455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14</xdr:row>
      <xdr:rowOff>142875</xdr:rowOff>
    </xdr:from>
    <xdr:to>
      <xdr:col>29</xdr:col>
      <xdr:colOff>257175</xdr:colOff>
      <xdr:row>14</xdr:row>
      <xdr:rowOff>142875</xdr:rowOff>
    </xdr:to>
    <xdr:sp macro="" textlink="">
      <xdr:nvSpPr>
        <xdr:cNvPr id="144" name="Line 15"/>
        <xdr:cNvSpPr>
          <a:spLocks noChangeShapeType="1"/>
        </xdr:cNvSpPr>
      </xdr:nvSpPr>
      <xdr:spPr bwMode="auto">
        <a:xfrm>
          <a:off x="9010650" y="4124325"/>
          <a:ext cx="159067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28575</xdr:colOff>
      <xdr:row>12</xdr:row>
      <xdr:rowOff>66675</xdr:rowOff>
    </xdr:from>
    <xdr:to>
      <xdr:col>6</xdr:col>
      <xdr:colOff>257175</xdr:colOff>
      <xdr:row>13</xdr:row>
      <xdr:rowOff>0</xdr:rowOff>
    </xdr:to>
    <xdr:pic>
      <xdr:nvPicPr>
        <xdr:cNvPr id="14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3552825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</xdr:colOff>
      <xdr:row>12</xdr:row>
      <xdr:rowOff>66675</xdr:rowOff>
    </xdr:from>
    <xdr:to>
      <xdr:col>10</xdr:col>
      <xdr:colOff>247650</xdr:colOff>
      <xdr:row>13</xdr:row>
      <xdr:rowOff>0</xdr:rowOff>
    </xdr:to>
    <xdr:pic>
      <xdr:nvPicPr>
        <xdr:cNvPr id="146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552825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19050</xdr:colOff>
      <xdr:row>12</xdr:row>
      <xdr:rowOff>66675</xdr:rowOff>
    </xdr:from>
    <xdr:to>
      <xdr:col>9</xdr:col>
      <xdr:colOff>247650</xdr:colOff>
      <xdr:row>13</xdr:row>
      <xdr:rowOff>0</xdr:rowOff>
    </xdr:to>
    <xdr:pic>
      <xdr:nvPicPr>
        <xdr:cNvPr id="14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3552825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28575</xdr:colOff>
      <xdr:row>12</xdr:row>
      <xdr:rowOff>66675</xdr:rowOff>
    </xdr:from>
    <xdr:to>
      <xdr:col>8</xdr:col>
      <xdr:colOff>247650</xdr:colOff>
      <xdr:row>13</xdr:row>
      <xdr:rowOff>0</xdr:rowOff>
    </xdr:to>
    <xdr:pic>
      <xdr:nvPicPr>
        <xdr:cNvPr id="148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3552825"/>
          <a:ext cx="2190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</xdr:colOff>
      <xdr:row>12</xdr:row>
      <xdr:rowOff>66675</xdr:rowOff>
    </xdr:from>
    <xdr:to>
      <xdr:col>7</xdr:col>
      <xdr:colOff>257175</xdr:colOff>
      <xdr:row>13</xdr:row>
      <xdr:rowOff>0</xdr:rowOff>
    </xdr:to>
    <xdr:pic>
      <xdr:nvPicPr>
        <xdr:cNvPr id="149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3552825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19050</xdr:colOff>
      <xdr:row>13</xdr:row>
      <xdr:rowOff>28575</xdr:rowOff>
    </xdr:from>
    <xdr:to>
      <xdr:col>11</xdr:col>
      <xdr:colOff>238125</xdr:colOff>
      <xdr:row>13</xdr:row>
      <xdr:rowOff>219075</xdr:rowOff>
    </xdr:to>
    <xdr:pic>
      <xdr:nvPicPr>
        <xdr:cNvPr id="150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3762375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9525</xdr:colOff>
      <xdr:row>13</xdr:row>
      <xdr:rowOff>28575</xdr:rowOff>
    </xdr:from>
    <xdr:to>
      <xdr:col>12</xdr:col>
      <xdr:colOff>238125</xdr:colOff>
      <xdr:row>13</xdr:row>
      <xdr:rowOff>219075</xdr:rowOff>
    </xdr:to>
    <xdr:pic>
      <xdr:nvPicPr>
        <xdr:cNvPr id="151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376237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9525</xdr:colOff>
      <xdr:row>13</xdr:row>
      <xdr:rowOff>28575</xdr:rowOff>
    </xdr:from>
    <xdr:to>
      <xdr:col>13</xdr:col>
      <xdr:colOff>238125</xdr:colOff>
      <xdr:row>13</xdr:row>
      <xdr:rowOff>219075</xdr:rowOff>
    </xdr:to>
    <xdr:pic>
      <xdr:nvPicPr>
        <xdr:cNvPr id="152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376237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28575</xdr:colOff>
      <xdr:row>13</xdr:row>
      <xdr:rowOff>28575</xdr:rowOff>
    </xdr:from>
    <xdr:to>
      <xdr:col>6</xdr:col>
      <xdr:colOff>257175</xdr:colOff>
      <xdr:row>13</xdr:row>
      <xdr:rowOff>219075</xdr:rowOff>
    </xdr:to>
    <xdr:pic>
      <xdr:nvPicPr>
        <xdr:cNvPr id="153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376237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</xdr:colOff>
      <xdr:row>13</xdr:row>
      <xdr:rowOff>28575</xdr:rowOff>
    </xdr:from>
    <xdr:to>
      <xdr:col>10</xdr:col>
      <xdr:colOff>247650</xdr:colOff>
      <xdr:row>13</xdr:row>
      <xdr:rowOff>219075</xdr:rowOff>
    </xdr:to>
    <xdr:pic>
      <xdr:nvPicPr>
        <xdr:cNvPr id="154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76237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19050</xdr:colOff>
      <xdr:row>13</xdr:row>
      <xdr:rowOff>28575</xdr:rowOff>
    </xdr:from>
    <xdr:to>
      <xdr:col>9</xdr:col>
      <xdr:colOff>247650</xdr:colOff>
      <xdr:row>13</xdr:row>
      <xdr:rowOff>219075</xdr:rowOff>
    </xdr:to>
    <xdr:pic>
      <xdr:nvPicPr>
        <xdr:cNvPr id="155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376237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28575</xdr:rowOff>
    </xdr:from>
    <xdr:to>
      <xdr:col>8</xdr:col>
      <xdr:colOff>247650</xdr:colOff>
      <xdr:row>13</xdr:row>
      <xdr:rowOff>219075</xdr:rowOff>
    </xdr:to>
    <xdr:pic>
      <xdr:nvPicPr>
        <xdr:cNvPr id="156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3762375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</xdr:colOff>
      <xdr:row>13</xdr:row>
      <xdr:rowOff>28575</xdr:rowOff>
    </xdr:from>
    <xdr:to>
      <xdr:col>7</xdr:col>
      <xdr:colOff>257175</xdr:colOff>
      <xdr:row>13</xdr:row>
      <xdr:rowOff>219075</xdr:rowOff>
    </xdr:to>
    <xdr:pic>
      <xdr:nvPicPr>
        <xdr:cNvPr id="157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376237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66675</xdr:colOff>
      <xdr:row>12</xdr:row>
      <xdr:rowOff>47625</xdr:rowOff>
    </xdr:from>
    <xdr:to>
      <xdr:col>18</xdr:col>
      <xdr:colOff>219075</xdr:colOff>
      <xdr:row>12</xdr:row>
      <xdr:rowOff>228600</xdr:rowOff>
    </xdr:to>
    <xdr:pic>
      <xdr:nvPicPr>
        <xdr:cNvPr id="15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533775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9525</xdr:colOff>
      <xdr:row>12</xdr:row>
      <xdr:rowOff>47625</xdr:rowOff>
    </xdr:from>
    <xdr:to>
      <xdr:col>40</xdr:col>
      <xdr:colOff>228600</xdr:colOff>
      <xdr:row>12</xdr:row>
      <xdr:rowOff>228600</xdr:rowOff>
    </xdr:to>
    <xdr:pic>
      <xdr:nvPicPr>
        <xdr:cNvPr id="159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3533775"/>
          <a:ext cx="2190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28575</xdr:colOff>
      <xdr:row>13</xdr:row>
      <xdr:rowOff>38100</xdr:rowOff>
    </xdr:from>
    <xdr:to>
      <xdr:col>40</xdr:col>
      <xdr:colOff>247650</xdr:colOff>
      <xdr:row>13</xdr:row>
      <xdr:rowOff>219075</xdr:rowOff>
    </xdr:to>
    <xdr:pic>
      <xdr:nvPicPr>
        <xdr:cNvPr id="160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6425" y="3771900"/>
          <a:ext cx="2190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28575</xdr:colOff>
      <xdr:row>14</xdr:row>
      <xdr:rowOff>38100</xdr:rowOff>
    </xdr:from>
    <xdr:to>
      <xdr:col>40</xdr:col>
      <xdr:colOff>247650</xdr:colOff>
      <xdr:row>14</xdr:row>
      <xdr:rowOff>219075</xdr:rowOff>
    </xdr:to>
    <xdr:pic>
      <xdr:nvPicPr>
        <xdr:cNvPr id="161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6425" y="4019550"/>
          <a:ext cx="2190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28575</xdr:colOff>
      <xdr:row>12</xdr:row>
      <xdr:rowOff>47625</xdr:rowOff>
    </xdr:from>
    <xdr:to>
      <xdr:col>39</xdr:col>
      <xdr:colOff>257175</xdr:colOff>
      <xdr:row>12</xdr:row>
      <xdr:rowOff>228600</xdr:rowOff>
    </xdr:to>
    <xdr:pic>
      <xdr:nvPicPr>
        <xdr:cNvPr id="162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9725" y="3533775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28575</xdr:colOff>
      <xdr:row>13</xdr:row>
      <xdr:rowOff>28575</xdr:rowOff>
    </xdr:from>
    <xdr:to>
      <xdr:col>39</xdr:col>
      <xdr:colOff>257175</xdr:colOff>
      <xdr:row>13</xdr:row>
      <xdr:rowOff>219075</xdr:rowOff>
    </xdr:to>
    <xdr:pic>
      <xdr:nvPicPr>
        <xdr:cNvPr id="163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9725" y="376237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28575</xdr:colOff>
      <xdr:row>14</xdr:row>
      <xdr:rowOff>28575</xdr:rowOff>
    </xdr:from>
    <xdr:to>
      <xdr:col>39</xdr:col>
      <xdr:colOff>257175</xdr:colOff>
      <xdr:row>14</xdr:row>
      <xdr:rowOff>219075</xdr:rowOff>
    </xdr:to>
    <xdr:pic>
      <xdr:nvPicPr>
        <xdr:cNvPr id="164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9725" y="40100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28575</xdr:colOff>
      <xdr:row>14</xdr:row>
      <xdr:rowOff>66675</xdr:rowOff>
    </xdr:from>
    <xdr:to>
      <xdr:col>6</xdr:col>
      <xdr:colOff>257175</xdr:colOff>
      <xdr:row>15</xdr:row>
      <xdr:rowOff>0</xdr:rowOff>
    </xdr:to>
    <xdr:pic>
      <xdr:nvPicPr>
        <xdr:cNvPr id="165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4048125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</xdr:colOff>
      <xdr:row>14</xdr:row>
      <xdr:rowOff>66675</xdr:rowOff>
    </xdr:from>
    <xdr:to>
      <xdr:col>7</xdr:col>
      <xdr:colOff>257175</xdr:colOff>
      <xdr:row>15</xdr:row>
      <xdr:rowOff>0</xdr:rowOff>
    </xdr:to>
    <xdr:pic>
      <xdr:nvPicPr>
        <xdr:cNvPr id="166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4048125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28575</xdr:colOff>
      <xdr:row>14</xdr:row>
      <xdr:rowOff>66675</xdr:rowOff>
    </xdr:from>
    <xdr:to>
      <xdr:col>8</xdr:col>
      <xdr:colOff>257175</xdr:colOff>
      <xdr:row>15</xdr:row>
      <xdr:rowOff>0</xdr:rowOff>
    </xdr:to>
    <xdr:pic>
      <xdr:nvPicPr>
        <xdr:cNvPr id="16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4048125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28575</xdr:colOff>
      <xdr:row>14</xdr:row>
      <xdr:rowOff>66675</xdr:rowOff>
    </xdr:from>
    <xdr:to>
      <xdr:col>9</xdr:col>
      <xdr:colOff>257175</xdr:colOff>
      <xdr:row>15</xdr:row>
      <xdr:rowOff>0</xdr:rowOff>
    </xdr:to>
    <xdr:pic>
      <xdr:nvPicPr>
        <xdr:cNvPr id="168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4048125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28575</xdr:colOff>
      <xdr:row>14</xdr:row>
      <xdr:rowOff>66675</xdr:rowOff>
    </xdr:from>
    <xdr:to>
      <xdr:col>10</xdr:col>
      <xdr:colOff>257175</xdr:colOff>
      <xdr:row>15</xdr:row>
      <xdr:rowOff>0</xdr:rowOff>
    </xdr:to>
    <xdr:pic>
      <xdr:nvPicPr>
        <xdr:cNvPr id="169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4048125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28575</xdr:colOff>
      <xdr:row>14</xdr:row>
      <xdr:rowOff>66675</xdr:rowOff>
    </xdr:from>
    <xdr:to>
      <xdr:col>11</xdr:col>
      <xdr:colOff>257175</xdr:colOff>
      <xdr:row>15</xdr:row>
      <xdr:rowOff>0</xdr:rowOff>
    </xdr:to>
    <xdr:pic>
      <xdr:nvPicPr>
        <xdr:cNvPr id="170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4048125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28575</xdr:colOff>
      <xdr:row>14</xdr:row>
      <xdr:rowOff>66675</xdr:rowOff>
    </xdr:from>
    <xdr:to>
      <xdr:col>12</xdr:col>
      <xdr:colOff>257175</xdr:colOff>
      <xdr:row>15</xdr:row>
      <xdr:rowOff>0</xdr:rowOff>
    </xdr:to>
    <xdr:pic>
      <xdr:nvPicPr>
        <xdr:cNvPr id="17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4048125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28575</xdr:colOff>
      <xdr:row>14</xdr:row>
      <xdr:rowOff>66675</xdr:rowOff>
    </xdr:from>
    <xdr:to>
      <xdr:col>13</xdr:col>
      <xdr:colOff>257175</xdr:colOff>
      <xdr:row>15</xdr:row>
      <xdr:rowOff>0</xdr:rowOff>
    </xdr:to>
    <xdr:pic>
      <xdr:nvPicPr>
        <xdr:cNvPr id="172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4048125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28575</xdr:colOff>
      <xdr:row>12</xdr:row>
      <xdr:rowOff>47625</xdr:rowOff>
    </xdr:from>
    <xdr:to>
      <xdr:col>41</xdr:col>
      <xdr:colOff>257175</xdr:colOff>
      <xdr:row>12</xdr:row>
      <xdr:rowOff>228600</xdr:rowOff>
    </xdr:to>
    <xdr:pic>
      <xdr:nvPicPr>
        <xdr:cNvPr id="173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25" y="3533775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28575</xdr:colOff>
      <xdr:row>13</xdr:row>
      <xdr:rowOff>47625</xdr:rowOff>
    </xdr:from>
    <xdr:to>
      <xdr:col>41</xdr:col>
      <xdr:colOff>257175</xdr:colOff>
      <xdr:row>13</xdr:row>
      <xdr:rowOff>228600</xdr:rowOff>
    </xdr:to>
    <xdr:pic>
      <xdr:nvPicPr>
        <xdr:cNvPr id="174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25" y="3781425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28575</xdr:colOff>
      <xdr:row>14</xdr:row>
      <xdr:rowOff>47625</xdr:rowOff>
    </xdr:from>
    <xdr:to>
      <xdr:col>41</xdr:col>
      <xdr:colOff>257175</xdr:colOff>
      <xdr:row>14</xdr:row>
      <xdr:rowOff>228600</xdr:rowOff>
    </xdr:to>
    <xdr:pic>
      <xdr:nvPicPr>
        <xdr:cNvPr id="175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25" y="4029075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66675</xdr:colOff>
      <xdr:row>12</xdr:row>
      <xdr:rowOff>47625</xdr:rowOff>
    </xdr:from>
    <xdr:to>
      <xdr:col>19</xdr:col>
      <xdr:colOff>219075</xdr:colOff>
      <xdr:row>12</xdr:row>
      <xdr:rowOff>228600</xdr:rowOff>
    </xdr:to>
    <xdr:pic>
      <xdr:nvPicPr>
        <xdr:cNvPr id="176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3533775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66675</xdr:colOff>
      <xdr:row>12</xdr:row>
      <xdr:rowOff>47625</xdr:rowOff>
    </xdr:from>
    <xdr:to>
      <xdr:col>20</xdr:col>
      <xdr:colOff>219075</xdr:colOff>
      <xdr:row>12</xdr:row>
      <xdr:rowOff>228600</xdr:rowOff>
    </xdr:to>
    <xdr:pic>
      <xdr:nvPicPr>
        <xdr:cNvPr id="177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3533775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66675</xdr:colOff>
      <xdr:row>12</xdr:row>
      <xdr:rowOff>47625</xdr:rowOff>
    </xdr:from>
    <xdr:to>
      <xdr:col>21</xdr:col>
      <xdr:colOff>219075</xdr:colOff>
      <xdr:row>12</xdr:row>
      <xdr:rowOff>228600</xdr:rowOff>
    </xdr:to>
    <xdr:pic>
      <xdr:nvPicPr>
        <xdr:cNvPr id="178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3533775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66675</xdr:colOff>
      <xdr:row>12</xdr:row>
      <xdr:rowOff>47625</xdr:rowOff>
    </xdr:from>
    <xdr:to>
      <xdr:col>22</xdr:col>
      <xdr:colOff>219075</xdr:colOff>
      <xdr:row>12</xdr:row>
      <xdr:rowOff>228600</xdr:rowOff>
    </xdr:to>
    <xdr:pic>
      <xdr:nvPicPr>
        <xdr:cNvPr id="179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3533775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66675</xdr:colOff>
      <xdr:row>12</xdr:row>
      <xdr:rowOff>47625</xdr:rowOff>
    </xdr:from>
    <xdr:to>
      <xdr:col>23</xdr:col>
      <xdr:colOff>219075</xdr:colOff>
      <xdr:row>12</xdr:row>
      <xdr:rowOff>228600</xdr:rowOff>
    </xdr:to>
    <xdr:pic>
      <xdr:nvPicPr>
        <xdr:cNvPr id="180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33775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66675</xdr:colOff>
      <xdr:row>13</xdr:row>
      <xdr:rowOff>47625</xdr:rowOff>
    </xdr:from>
    <xdr:to>
      <xdr:col>18</xdr:col>
      <xdr:colOff>219075</xdr:colOff>
      <xdr:row>13</xdr:row>
      <xdr:rowOff>228600</xdr:rowOff>
    </xdr:to>
    <xdr:pic>
      <xdr:nvPicPr>
        <xdr:cNvPr id="181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781425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66675</xdr:colOff>
      <xdr:row>13</xdr:row>
      <xdr:rowOff>47625</xdr:rowOff>
    </xdr:from>
    <xdr:to>
      <xdr:col>19</xdr:col>
      <xdr:colOff>219075</xdr:colOff>
      <xdr:row>13</xdr:row>
      <xdr:rowOff>228600</xdr:rowOff>
    </xdr:to>
    <xdr:pic>
      <xdr:nvPicPr>
        <xdr:cNvPr id="182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3781425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66675</xdr:colOff>
      <xdr:row>13</xdr:row>
      <xdr:rowOff>47625</xdr:rowOff>
    </xdr:from>
    <xdr:to>
      <xdr:col>20</xdr:col>
      <xdr:colOff>219075</xdr:colOff>
      <xdr:row>13</xdr:row>
      <xdr:rowOff>228600</xdr:rowOff>
    </xdr:to>
    <xdr:pic>
      <xdr:nvPicPr>
        <xdr:cNvPr id="18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3781425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66675</xdr:colOff>
      <xdr:row>13</xdr:row>
      <xdr:rowOff>47625</xdr:rowOff>
    </xdr:from>
    <xdr:to>
      <xdr:col>21</xdr:col>
      <xdr:colOff>219075</xdr:colOff>
      <xdr:row>13</xdr:row>
      <xdr:rowOff>228600</xdr:rowOff>
    </xdr:to>
    <xdr:pic>
      <xdr:nvPicPr>
        <xdr:cNvPr id="184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3781425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66675</xdr:colOff>
      <xdr:row>13</xdr:row>
      <xdr:rowOff>47625</xdr:rowOff>
    </xdr:from>
    <xdr:to>
      <xdr:col>22</xdr:col>
      <xdr:colOff>219075</xdr:colOff>
      <xdr:row>13</xdr:row>
      <xdr:rowOff>228600</xdr:rowOff>
    </xdr:to>
    <xdr:pic>
      <xdr:nvPicPr>
        <xdr:cNvPr id="185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3781425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66675</xdr:colOff>
      <xdr:row>13</xdr:row>
      <xdr:rowOff>47625</xdr:rowOff>
    </xdr:from>
    <xdr:to>
      <xdr:col>23</xdr:col>
      <xdr:colOff>219075</xdr:colOff>
      <xdr:row>13</xdr:row>
      <xdr:rowOff>228600</xdr:rowOff>
    </xdr:to>
    <xdr:pic>
      <xdr:nvPicPr>
        <xdr:cNvPr id="186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781425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66675</xdr:colOff>
      <xdr:row>14</xdr:row>
      <xdr:rowOff>47625</xdr:rowOff>
    </xdr:from>
    <xdr:to>
      <xdr:col>18</xdr:col>
      <xdr:colOff>219075</xdr:colOff>
      <xdr:row>14</xdr:row>
      <xdr:rowOff>228600</xdr:rowOff>
    </xdr:to>
    <xdr:pic>
      <xdr:nvPicPr>
        <xdr:cNvPr id="187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3206" y="3595688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66675</xdr:colOff>
      <xdr:row>14</xdr:row>
      <xdr:rowOff>47625</xdr:rowOff>
    </xdr:from>
    <xdr:to>
      <xdr:col>19</xdr:col>
      <xdr:colOff>219075</xdr:colOff>
      <xdr:row>14</xdr:row>
      <xdr:rowOff>228600</xdr:rowOff>
    </xdr:to>
    <xdr:pic>
      <xdr:nvPicPr>
        <xdr:cNvPr id="188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4029075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66675</xdr:colOff>
      <xdr:row>14</xdr:row>
      <xdr:rowOff>47625</xdr:rowOff>
    </xdr:from>
    <xdr:to>
      <xdr:col>20</xdr:col>
      <xdr:colOff>219075</xdr:colOff>
      <xdr:row>14</xdr:row>
      <xdr:rowOff>228600</xdr:rowOff>
    </xdr:to>
    <xdr:pic>
      <xdr:nvPicPr>
        <xdr:cNvPr id="189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4029075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66675</xdr:colOff>
      <xdr:row>14</xdr:row>
      <xdr:rowOff>47625</xdr:rowOff>
    </xdr:from>
    <xdr:to>
      <xdr:col>21</xdr:col>
      <xdr:colOff>219075</xdr:colOff>
      <xdr:row>14</xdr:row>
      <xdr:rowOff>228600</xdr:rowOff>
    </xdr:to>
    <xdr:pic>
      <xdr:nvPicPr>
        <xdr:cNvPr id="190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4029075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66675</xdr:colOff>
      <xdr:row>14</xdr:row>
      <xdr:rowOff>47625</xdr:rowOff>
    </xdr:from>
    <xdr:to>
      <xdr:col>22</xdr:col>
      <xdr:colOff>219075</xdr:colOff>
      <xdr:row>14</xdr:row>
      <xdr:rowOff>228600</xdr:rowOff>
    </xdr:to>
    <xdr:pic>
      <xdr:nvPicPr>
        <xdr:cNvPr id="191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4029075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66675</xdr:colOff>
      <xdr:row>14</xdr:row>
      <xdr:rowOff>47625</xdr:rowOff>
    </xdr:from>
    <xdr:to>
      <xdr:col>23</xdr:col>
      <xdr:colOff>219075</xdr:colOff>
      <xdr:row>14</xdr:row>
      <xdr:rowOff>228600</xdr:rowOff>
    </xdr:to>
    <xdr:pic>
      <xdr:nvPicPr>
        <xdr:cNvPr id="192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4029075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28575</xdr:colOff>
      <xdr:row>12</xdr:row>
      <xdr:rowOff>66675</xdr:rowOff>
    </xdr:from>
    <xdr:to>
      <xdr:col>14</xdr:col>
      <xdr:colOff>257175</xdr:colOff>
      <xdr:row>13</xdr:row>
      <xdr:rowOff>0</xdr:rowOff>
    </xdr:to>
    <xdr:pic>
      <xdr:nvPicPr>
        <xdr:cNvPr id="193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3552825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28575</xdr:colOff>
      <xdr:row>13</xdr:row>
      <xdr:rowOff>66675</xdr:rowOff>
    </xdr:from>
    <xdr:to>
      <xdr:col>14</xdr:col>
      <xdr:colOff>257175</xdr:colOff>
      <xdr:row>14</xdr:row>
      <xdr:rowOff>0</xdr:rowOff>
    </xdr:to>
    <xdr:pic>
      <xdr:nvPicPr>
        <xdr:cNvPr id="194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3800475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28575</xdr:colOff>
      <xdr:row>14</xdr:row>
      <xdr:rowOff>66675</xdr:rowOff>
    </xdr:from>
    <xdr:to>
      <xdr:col>14</xdr:col>
      <xdr:colOff>257175</xdr:colOff>
      <xdr:row>15</xdr:row>
      <xdr:rowOff>0</xdr:rowOff>
    </xdr:to>
    <xdr:pic>
      <xdr:nvPicPr>
        <xdr:cNvPr id="195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048125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9525</xdr:colOff>
      <xdr:row>15</xdr:row>
      <xdr:rowOff>142875</xdr:rowOff>
    </xdr:from>
    <xdr:to>
      <xdr:col>17</xdr:col>
      <xdr:colOff>9525</xdr:colOff>
      <xdr:row>15</xdr:row>
      <xdr:rowOff>142875</xdr:rowOff>
    </xdr:to>
    <xdr:sp macro="" textlink="">
      <xdr:nvSpPr>
        <xdr:cNvPr id="217" name="Line 4"/>
        <xdr:cNvSpPr>
          <a:spLocks noChangeShapeType="1"/>
        </xdr:cNvSpPr>
      </xdr:nvSpPr>
      <xdr:spPr bwMode="auto">
        <a:xfrm>
          <a:off x="5760244" y="3690938"/>
          <a:ext cx="52387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11905</xdr:colOff>
      <xdr:row>15</xdr:row>
      <xdr:rowOff>142875</xdr:rowOff>
    </xdr:from>
    <xdr:to>
      <xdr:col>39</xdr:col>
      <xdr:colOff>9524</xdr:colOff>
      <xdr:row>15</xdr:row>
      <xdr:rowOff>142875</xdr:rowOff>
    </xdr:to>
    <xdr:sp macro="" textlink="">
      <xdr:nvSpPr>
        <xdr:cNvPr id="218" name="Line 6"/>
        <xdr:cNvSpPr>
          <a:spLocks noChangeShapeType="1"/>
        </xdr:cNvSpPr>
      </xdr:nvSpPr>
      <xdr:spPr bwMode="auto">
        <a:xfrm flipV="1">
          <a:off x="11001374" y="3940969"/>
          <a:ext cx="1045369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15</xdr:row>
      <xdr:rowOff>142875</xdr:rowOff>
    </xdr:from>
    <xdr:to>
      <xdr:col>32</xdr:col>
      <xdr:colOff>250032</xdr:colOff>
      <xdr:row>15</xdr:row>
      <xdr:rowOff>154781</xdr:rowOff>
    </xdr:to>
    <xdr:sp macro="" textlink="">
      <xdr:nvSpPr>
        <xdr:cNvPr id="219" name="Line 15"/>
        <xdr:cNvSpPr>
          <a:spLocks noChangeShapeType="1"/>
        </xdr:cNvSpPr>
      </xdr:nvSpPr>
      <xdr:spPr bwMode="auto">
        <a:xfrm>
          <a:off x="8108156" y="3940969"/>
          <a:ext cx="2345532" cy="11906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40</xdr:col>
      <xdr:colOff>28575</xdr:colOff>
      <xdr:row>15</xdr:row>
      <xdr:rowOff>38100</xdr:rowOff>
    </xdr:from>
    <xdr:ext cx="219075" cy="180975"/>
    <xdr:pic>
      <xdr:nvPicPr>
        <xdr:cNvPr id="22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7731" y="3586163"/>
          <a:ext cx="2190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39</xdr:col>
      <xdr:colOff>28575</xdr:colOff>
      <xdr:row>15</xdr:row>
      <xdr:rowOff>28575</xdr:rowOff>
    </xdr:from>
    <xdr:ext cx="228600" cy="190500"/>
    <xdr:pic>
      <xdr:nvPicPr>
        <xdr:cNvPr id="221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794" y="3576638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28575</xdr:colOff>
      <xdr:row>15</xdr:row>
      <xdr:rowOff>66675</xdr:rowOff>
    </xdr:from>
    <xdr:ext cx="228600" cy="183356"/>
    <xdr:pic>
      <xdr:nvPicPr>
        <xdr:cNvPr id="22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138" y="3614738"/>
          <a:ext cx="228600" cy="18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28575</xdr:colOff>
      <xdr:row>15</xdr:row>
      <xdr:rowOff>66675</xdr:rowOff>
    </xdr:from>
    <xdr:ext cx="228600" cy="183356"/>
    <xdr:pic>
      <xdr:nvPicPr>
        <xdr:cNvPr id="223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3614738"/>
          <a:ext cx="228600" cy="18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28575</xdr:colOff>
      <xdr:row>15</xdr:row>
      <xdr:rowOff>66675</xdr:rowOff>
    </xdr:from>
    <xdr:ext cx="228600" cy="183356"/>
    <xdr:pic>
      <xdr:nvPicPr>
        <xdr:cNvPr id="224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1919" y="3614738"/>
          <a:ext cx="228600" cy="18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28575</xdr:colOff>
      <xdr:row>15</xdr:row>
      <xdr:rowOff>66675</xdr:rowOff>
    </xdr:from>
    <xdr:ext cx="228600" cy="183356"/>
    <xdr:pic>
      <xdr:nvPicPr>
        <xdr:cNvPr id="22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7669" y="3614738"/>
          <a:ext cx="228600" cy="18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28575</xdr:colOff>
      <xdr:row>15</xdr:row>
      <xdr:rowOff>66675</xdr:rowOff>
    </xdr:from>
    <xdr:ext cx="228600" cy="183356"/>
    <xdr:pic>
      <xdr:nvPicPr>
        <xdr:cNvPr id="226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9606" y="3614738"/>
          <a:ext cx="228600" cy="18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28575</xdr:colOff>
      <xdr:row>15</xdr:row>
      <xdr:rowOff>66675</xdr:rowOff>
    </xdr:from>
    <xdr:ext cx="228600" cy="183356"/>
    <xdr:pic>
      <xdr:nvPicPr>
        <xdr:cNvPr id="227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1544" y="3614738"/>
          <a:ext cx="228600" cy="18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28575</xdr:colOff>
      <xdr:row>15</xdr:row>
      <xdr:rowOff>66675</xdr:rowOff>
    </xdr:from>
    <xdr:ext cx="228600" cy="183356"/>
    <xdr:pic>
      <xdr:nvPicPr>
        <xdr:cNvPr id="22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3481" y="3614738"/>
          <a:ext cx="228600" cy="18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28575</xdr:colOff>
      <xdr:row>15</xdr:row>
      <xdr:rowOff>66675</xdr:rowOff>
    </xdr:from>
    <xdr:ext cx="228600" cy="183356"/>
    <xdr:pic>
      <xdr:nvPicPr>
        <xdr:cNvPr id="229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5419" y="3614738"/>
          <a:ext cx="228600" cy="18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41</xdr:col>
      <xdr:colOff>28575</xdr:colOff>
      <xdr:row>15</xdr:row>
      <xdr:rowOff>47625</xdr:rowOff>
    </xdr:from>
    <xdr:ext cx="228600" cy="180975"/>
    <xdr:pic>
      <xdr:nvPicPr>
        <xdr:cNvPr id="230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9669" y="3595688"/>
          <a:ext cx="228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66675</xdr:colOff>
      <xdr:row>15</xdr:row>
      <xdr:rowOff>47625</xdr:rowOff>
    </xdr:from>
    <xdr:ext cx="152400" cy="180975"/>
    <xdr:pic>
      <xdr:nvPicPr>
        <xdr:cNvPr id="231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3206" y="3595688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66675</xdr:colOff>
      <xdr:row>15</xdr:row>
      <xdr:rowOff>47625</xdr:rowOff>
    </xdr:from>
    <xdr:ext cx="152400" cy="180975"/>
    <xdr:pic>
      <xdr:nvPicPr>
        <xdr:cNvPr id="232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5144" y="3595688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66675</xdr:colOff>
      <xdr:row>15</xdr:row>
      <xdr:rowOff>47625</xdr:rowOff>
    </xdr:from>
    <xdr:ext cx="152400" cy="180975"/>
    <xdr:pic>
      <xdr:nvPicPr>
        <xdr:cNvPr id="233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7081" y="3595688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</xdr:col>
      <xdr:colOff>66675</xdr:colOff>
      <xdr:row>15</xdr:row>
      <xdr:rowOff>47625</xdr:rowOff>
    </xdr:from>
    <xdr:ext cx="152400" cy="180975"/>
    <xdr:pic>
      <xdr:nvPicPr>
        <xdr:cNvPr id="23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9019" y="3595688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66675</xdr:colOff>
      <xdr:row>15</xdr:row>
      <xdr:rowOff>47625</xdr:rowOff>
    </xdr:from>
    <xdr:ext cx="152400" cy="180975"/>
    <xdr:pic>
      <xdr:nvPicPr>
        <xdr:cNvPr id="235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956" y="3595688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66675</xdr:colOff>
      <xdr:row>15</xdr:row>
      <xdr:rowOff>47625</xdr:rowOff>
    </xdr:from>
    <xdr:ext cx="152400" cy="180975"/>
    <xdr:pic>
      <xdr:nvPicPr>
        <xdr:cNvPr id="236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2894" y="3595688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28575</xdr:colOff>
      <xdr:row>15</xdr:row>
      <xdr:rowOff>66675</xdr:rowOff>
    </xdr:from>
    <xdr:ext cx="228600" cy="183356"/>
    <xdr:pic>
      <xdr:nvPicPr>
        <xdr:cNvPr id="237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7356" y="3614738"/>
          <a:ext cx="228600" cy="18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101929</xdr:colOff>
      <xdr:row>3</xdr:row>
      <xdr:rowOff>117586</xdr:rowOff>
    </xdr:from>
    <xdr:to>
      <xdr:col>36</xdr:col>
      <xdr:colOff>378154</xdr:colOff>
      <xdr:row>5</xdr:row>
      <xdr:rowOff>72042</xdr:rowOff>
    </xdr:to>
    <xdr:grpSp>
      <xdr:nvGrpSpPr>
        <xdr:cNvPr id="56" name="グループ化 55"/>
        <xdr:cNvGrpSpPr/>
      </xdr:nvGrpSpPr>
      <xdr:grpSpPr>
        <a:xfrm>
          <a:off x="1168729" y="650986"/>
          <a:ext cx="15389225" cy="310056"/>
          <a:chOff x="1163912" y="654052"/>
          <a:chExt cx="15220621" cy="304800"/>
        </a:xfrm>
      </xdr:grpSpPr>
      <xdr:grpSp>
        <xdr:nvGrpSpPr>
          <xdr:cNvPr id="25" name="グループ化 24"/>
          <xdr:cNvGrpSpPr/>
        </xdr:nvGrpSpPr>
        <xdr:grpSpPr>
          <a:xfrm>
            <a:off x="1163912" y="654052"/>
            <a:ext cx="15220621" cy="304800"/>
            <a:chOff x="1185808" y="730688"/>
            <a:chExt cx="15220621" cy="304800"/>
          </a:xfrm>
        </xdr:grpSpPr>
        <xdr:sp macro="" textlink="">
          <xdr:nvSpPr>
            <xdr:cNvPr id="2" name="Line 23"/>
            <xdr:cNvSpPr>
              <a:spLocks noChangeShapeType="1"/>
            </xdr:cNvSpPr>
          </xdr:nvSpPr>
          <xdr:spPr bwMode="auto">
            <a:xfrm>
              <a:off x="4942928" y="873563"/>
              <a:ext cx="834915" cy="0"/>
            </a:xfrm>
            <a:prstGeom prst="line">
              <a:avLst/>
            </a:prstGeom>
            <a:noFill/>
            <a:ln w="222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pic>
          <xdr:nvPicPr>
            <xdr:cNvPr id="5" name="Picture 3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85808" y="749738"/>
              <a:ext cx="276225" cy="2857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" name="Picture 32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612791" y="749738"/>
              <a:ext cx="276225" cy="2857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7" name="Picture 33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039773" y="749738"/>
              <a:ext cx="276225" cy="2857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8" name="Picture 3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466756" y="749738"/>
              <a:ext cx="276225" cy="2857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" name="Picture 3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93739" y="749738"/>
              <a:ext cx="276225" cy="2857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" name="Picture 3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320722" y="749738"/>
              <a:ext cx="276225" cy="2857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" name="Picture 3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747704" y="749738"/>
              <a:ext cx="276225" cy="2857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2" name="Picture 38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174687" y="749738"/>
              <a:ext cx="276225" cy="2857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3" name="Picture 39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601670" y="749738"/>
              <a:ext cx="276225" cy="2857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4" name="Picture 40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5276239" y="749738"/>
              <a:ext cx="276225" cy="2857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5" name="Picture 4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5703222" y="749738"/>
              <a:ext cx="276225" cy="2857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6" name="Picture 42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6130204" y="749738"/>
              <a:ext cx="276225" cy="28575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7" name="Picture 43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357226" y="730688"/>
              <a:ext cx="257175" cy="3048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8" name="Picture 4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784209" y="730688"/>
              <a:ext cx="257175" cy="3048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9" name="Picture 4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211191" y="730688"/>
              <a:ext cx="257175" cy="3048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" name="Picture 4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638174" y="730688"/>
              <a:ext cx="257175" cy="3048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" name="Picture 4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065157" y="730688"/>
              <a:ext cx="257175" cy="3048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2" name="Picture 48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492140" y="730688"/>
              <a:ext cx="257175" cy="3048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cxnSp macro="">
        <xdr:nvCxnSpPr>
          <xdr:cNvPr id="45" name="直線コネクタ 44"/>
          <xdr:cNvCxnSpPr/>
        </xdr:nvCxnSpPr>
        <xdr:spPr>
          <a:xfrm>
            <a:off x="8780517" y="810172"/>
            <a:ext cx="1164430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8" name="直線コネクタ 47"/>
          <xdr:cNvCxnSpPr/>
        </xdr:nvCxnSpPr>
        <xdr:spPr>
          <a:xfrm flipV="1">
            <a:off x="11068707" y="821121"/>
            <a:ext cx="4039914" cy="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112877</xdr:colOff>
      <xdr:row>3</xdr:row>
      <xdr:rowOff>139482</xdr:rowOff>
    </xdr:from>
    <xdr:to>
      <xdr:col>36</xdr:col>
      <xdr:colOff>389102</xdr:colOff>
      <xdr:row>5</xdr:row>
      <xdr:rowOff>93938</xdr:rowOff>
    </xdr:to>
    <xdr:grpSp>
      <xdr:nvGrpSpPr>
        <xdr:cNvPr id="23" name="グループ化 22"/>
        <xdr:cNvGrpSpPr/>
      </xdr:nvGrpSpPr>
      <xdr:grpSpPr>
        <a:xfrm>
          <a:off x="1039977" y="672882"/>
          <a:ext cx="15389225" cy="310056"/>
          <a:chOff x="1043480" y="730688"/>
          <a:chExt cx="15220622" cy="304800"/>
        </a:xfrm>
      </xdr:grpSpPr>
      <xdr:sp macro="" textlink="">
        <xdr:nvSpPr>
          <xdr:cNvPr id="2" name="Line 23"/>
          <xdr:cNvSpPr>
            <a:spLocks noChangeShapeType="1"/>
          </xdr:cNvSpPr>
        </xdr:nvSpPr>
        <xdr:spPr bwMode="auto">
          <a:xfrm>
            <a:off x="4800600" y="873563"/>
            <a:ext cx="834916" cy="0"/>
          </a:xfrm>
          <a:prstGeom prst="line">
            <a:avLst/>
          </a:prstGeom>
          <a:noFill/>
          <a:ln w="222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" name="Line 24"/>
          <xdr:cNvSpPr>
            <a:spLocks noChangeShapeType="1"/>
          </xdr:cNvSpPr>
        </xdr:nvSpPr>
        <xdr:spPr bwMode="auto">
          <a:xfrm flipV="1">
            <a:off x="8605345" y="873562"/>
            <a:ext cx="2123965" cy="0"/>
          </a:xfrm>
          <a:prstGeom prst="line">
            <a:avLst/>
          </a:prstGeom>
          <a:noFill/>
          <a:ln w="222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27"/>
          <xdr:cNvSpPr>
            <a:spLocks noChangeShapeType="1"/>
          </xdr:cNvSpPr>
        </xdr:nvSpPr>
        <xdr:spPr bwMode="auto">
          <a:xfrm>
            <a:off x="12078357" y="883088"/>
            <a:ext cx="2931729" cy="3722"/>
          </a:xfrm>
          <a:prstGeom prst="line">
            <a:avLst/>
          </a:prstGeom>
          <a:noFill/>
          <a:ln w="222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pic>
        <xdr:nvPicPr>
          <xdr:cNvPr id="5" name="Picture 3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3480" y="749738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3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70463" y="749738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3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97446" y="749738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3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24428" y="749738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Picture 3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51411" y="749738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3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78394" y="749738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3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05377" y="749738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Picture 3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32359" y="749738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39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59342" y="749738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4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133911" y="749738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Picture 4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560894" y="749738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4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987877" y="749738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Picture 4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14898" y="730688"/>
            <a:ext cx="257175" cy="304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8" name="Picture 4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41881" y="730688"/>
            <a:ext cx="257175" cy="304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4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68864" y="730688"/>
            <a:ext cx="257175" cy="304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" name="Picture 4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95847" y="730688"/>
            <a:ext cx="257175" cy="304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1" name="Picture 4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2829" y="730688"/>
            <a:ext cx="257175" cy="304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4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49812" y="730688"/>
            <a:ext cx="257175" cy="304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4</xdr:row>
      <xdr:rowOff>150430</xdr:rowOff>
    </xdr:from>
    <xdr:to>
      <xdr:col>36</xdr:col>
      <xdr:colOff>400050</xdr:colOff>
      <xdr:row>6</xdr:row>
      <xdr:rowOff>104885</xdr:rowOff>
    </xdr:to>
    <xdr:grpSp>
      <xdr:nvGrpSpPr>
        <xdr:cNvPr id="23" name="グループ化 22"/>
        <xdr:cNvGrpSpPr/>
      </xdr:nvGrpSpPr>
      <xdr:grpSpPr>
        <a:xfrm>
          <a:off x="1254125" y="861630"/>
          <a:ext cx="15389225" cy="310055"/>
          <a:chOff x="1251497" y="905860"/>
          <a:chExt cx="15220622" cy="304800"/>
        </a:xfrm>
      </xdr:grpSpPr>
      <xdr:sp macro="" textlink="">
        <xdr:nvSpPr>
          <xdr:cNvPr id="2" name="Line 23"/>
          <xdr:cNvSpPr>
            <a:spLocks noChangeShapeType="1"/>
          </xdr:cNvSpPr>
        </xdr:nvSpPr>
        <xdr:spPr bwMode="auto">
          <a:xfrm>
            <a:off x="5008617" y="1048735"/>
            <a:ext cx="834916" cy="0"/>
          </a:xfrm>
          <a:prstGeom prst="line">
            <a:avLst/>
          </a:prstGeom>
          <a:noFill/>
          <a:ln w="222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" name="Line 24"/>
          <xdr:cNvSpPr>
            <a:spLocks noChangeShapeType="1"/>
          </xdr:cNvSpPr>
        </xdr:nvSpPr>
        <xdr:spPr bwMode="auto">
          <a:xfrm>
            <a:off x="8813363" y="1048733"/>
            <a:ext cx="2956034" cy="0"/>
          </a:xfrm>
          <a:prstGeom prst="line">
            <a:avLst/>
          </a:prstGeom>
          <a:noFill/>
          <a:ln w="222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27"/>
          <xdr:cNvSpPr>
            <a:spLocks noChangeShapeType="1"/>
          </xdr:cNvSpPr>
        </xdr:nvSpPr>
        <xdr:spPr bwMode="auto">
          <a:xfrm>
            <a:off x="13121290" y="1058259"/>
            <a:ext cx="2085865" cy="3724"/>
          </a:xfrm>
          <a:prstGeom prst="line">
            <a:avLst/>
          </a:prstGeom>
          <a:noFill/>
          <a:ln w="222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pic>
        <xdr:nvPicPr>
          <xdr:cNvPr id="5" name="Picture 3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1497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3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78480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3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05463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3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32446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Picture 3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59428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3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86411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3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3394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Picture 3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40377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39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67359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4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341928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Picture 4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768911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4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95894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Picture 4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422916" y="905860"/>
            <a:ext cx="257175" cy="304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8" name="Picture 4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49898" y="905860"/>
            <a:ext cx="257175" cy="304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4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76881" y="905860"/>
            <a:ext cx="257175" cy="304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" name="Picture 4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3864" y="905860"/>
            <a:ext cx="257175" cy="304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1" name="Picture 4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30847" y="905860"/>
            <a:ext cx="257175" cy="304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4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7829" y="905860"/>
            <a:ext cx="257175" cy="304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5</xdr:row>
      <xdr:rowOff>118131</xdr:rowOff>
    </xdr:from>
    <xdr:to>
      <xdr:col>33</xdr:col>
      <xdr:colOff>416035</xdr:colOff>
      <xdr:row>5</xdr:row>
      <xdr:rowOff>127657</xdr:rowOff>
    </xdr:to>
    <xdr:grpSp>
      <xdr:nvGrpSpPr>
        <xdr:cNvPr id="24" name="グループ化 23"/>
        <xdr:cNvGrpSpPr/>
      </xdr:nvGrpSpPr>
      <xdr:grpSpPr>
        <a:xfrm>
          <a:off x="4991100" y="1007131"/>
          <a:ext cx="10309335" cy="9526"/>
          <a:chOff x="4942928" y="1048733"/>
          <a:chExt cx="10198538" cy="9526"/>
        </a:xfrm>
      </xdr:grpSpPr>
      <xdr:sp macro="" textlink="">
        <xdr:nvSpPr>
          <xdr:cNvPr id="2" name="Line 23"/>
          <xdr:cNvSpPr>
            <a:spLocks noChangeShapeType="1"/>
          </xdr:cNvSpPr>
        </xdr:nvSpPr>
        <xdr:spPr bwMode="auto">
          <a:xfrm>
            <a:off x="4942928" y="1048735"/>
            <a:ext cx="834915" cy="0"/>
          </a:xfrm>
          <a:prstGeom prst="line">
            <a:avLst/>
          </a:prstGeom>
          <a:noFill/>
          <a:ln w="222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" name="Line 24"/>
          <xdr:cNvSpPr>
            <a:spLocks noChangeShapeType="1"/>
          </xdr:cNvSpPr>
        </xdr:nvSpPr>
        <xdr:spPr bwMode="auto">
          <a:xfrm>
            <a:off x="8747672" y="1048733"/>
            <a:ext cx="3404914" cy="0"/>
          </a:xfrm>
          <a:prstGeom prst="line">
            <a:avLst/>
          </a:prstGeom>
          <a:noFill/>
          <a:ln w="222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27"/>
          <xdr:cNvSpPr>
            <a:spLocks noChangeShapeType="1"/>
          </xdr:cNvSpPr>
        </xdr:nvSpPr>
        <xdr:spPr bwMode="auto">
          <a:xfrm>
            <a:off x="13890516" y="1058259"/>
            <a:ext cx="1250950" cy="0"/>
          </a:xfrm>
          <a:prstGeom prst="line">
            <a:avLst/>
          </a:prstGeom>
          <a:noFill/>
          <a:ln w="222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123825</xdr:colOff>
      <xdr:row>4</xdr:row>
      <xdr:rowOff>95690</xdr:rowOff>
    </xdr:from>
    <xdr:to>
      <xdr:col>36</xdr:col>
      <xdr:colOff>400050</xdr:colOff>
      <xdr:row>6</xdr:row>
      <xdr:rowOff>50145</xdr:rowOff>
    </xdr:to>
    <xdr:grpSp>
      <xdr:nvGrpSpPr>
        <xdr:cNvPr id="23" name="グループ化 22"/>
        <xdr:cNvGrpSpPr/>
      </xdr:nvGrpSpPr>
      <xdr:grpSpPr>
        <a:xfrm>
          <a:off x="1190625" y="806890"/>
          <a:ext cx="15389225" cy="310055"/>
          <a:chOff x="1185808" y="905860"/>
          <a:chExt cx="15220621" cy="304800"/>
        </a:xfrm>
      </xdr:grpSpPr>
      <xdr:pic>
        <xdr:nvPicPr>
          <xdr:cNvPr id="5" name="Picture 3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85808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3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791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3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39773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3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6756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Picture 3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93739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3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20722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3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47704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Picture 3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74687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39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01670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4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276239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Picture 4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703222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Picture 4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30204" y="924910"/>
            <a:ext cx="276225" cy="285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Picture 4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57226" y="905860"/>
            <a:ext cx="257175" cy="304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8" name="Picture 4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84209" y="905860"/>
            <a:ext cx="257175" cy="304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4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11191" y="905860"/>
            <a:ext cx="257175" cy="304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" name="Picture 4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38174" y="905860"/>
            <a:ext cx="257175" cy="304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1" name="Picture 4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5157" y="905860"/>
            <a:ext cx="257175" cy="304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4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492140" y="905860"/>
            <a:ext cx="257175" cy="304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tabSelected="1" zoomScale="75" zoomScaleNormal="75" zoomScaleSheetLayoutView="75" workbookViewId="0"/>
  </sheetViews>
  <sheetFormatPr defaultRowHeight="13.5"/>
  <cols>
    <col min="1" max="1" width="1.625" style="45" customWidth="1"/>
    <col min="2" max="3" width="7.625" style="45" customWidth="1"/>
    <col min="4" max="6" width="9" style="45"/>
    <col min="7" max="7" width="3.5" style="45" customWidth="1"/>
    <col min="8" max="8" width="3.625" style="45" customWidth="1"/>
    <col min="9" max="9" width="3.75" style="45" customWidth="1"/>
    <col min="10" max="42" width="3.5" style="45" customWidth="1"/>
    <col min="43" max="43" width="1.375" style="45" customWidth="1"/>
    <col min="44" max="16384" width="9" style="45"/>
  </cols>
  <sheetData>
    <row r="1" spans="1:42" ht="9.9499999999999993" customHeight="1" thickBot="1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42" ht="39.950000000000003" customHeight="1" thickBot="1">
      <c r="A2" s="60"/>
      <c r="B2" s="244" t="s">
        <v>68</v>
      </c>
      <c r="C2" s="578" t="s">
        <v>574</v>
      </c>
      <c r="D2" s="579"/>
      <c r="E2" s="245" t="s">
        <v>53</v>
      </c>
      <c r="F2" s="580" t="s">
        <v>561</v>
      </c>
      <c r="G2" s="581"/>
      <c r="H2" s="581"/>
      <c r="I2" s="581"/>
      <c r="J2" s="581"/>
      <c r="K2" s="581"/>
      <c r="L2" s="581"/>
      <c r="M2" s="581"/>
      <c r="N2" s="579"/>
      <c r="O2" s="585" t="s">
        <v>54</v>
      </c>
      <c r="P2" s="586"/>
      <c r="Q2" s="587"/>
      <c r="R2" s="588" t="s">
        <v>562</v>
      </c>
      <c r="S2" s="589"/>
      <c r="T2" s="589"/>
      <c r="U2" s="589"/>
      <c r="V2" s="588" t="s">
        <v>55</v>
      </c>
      <c r="W2" s="589"/>
      <c r="X2" s="589"/>
      <c r="Y2" s="582" t="s">
        <v>543</v>
      </c>
      <c r="Z2" s="583"/>
      <c r="AA2" s="584"/>
      <c r="AB2" s="61"/>
      <c r="AC2" s="61"/>
      <c r="AD2" s="61"/>
    </row>
    <row r="3" spans="1:42" ht="9.9499999999999993" customHeight="1">
      <c r="B3" s="62"/>
    </row>
    <row r="4" spans="1:42" ht="24.95" customHeight="1" thickBot="1">
      <c r="B4" s="45" t="s">
        <v>91</v>
      </c>
    </row>
    <row r="5" spans="1:42" ht="20.100000000000001" customHeight="1">
      <c r="B5" s="673" t="s">
        <v>92</v>
      </c>
      <c r="C5" s="627"/>
      <c r="D5" s="674" t="s">
        <v>604</v>
      </c>
      <c r="E5" s="675"/>
      <c r="F5" s="675"/>
      <c r="G5" s="676"/>
      <c r="H5" s="631" t="s">
        <v>56</v>
      </c>
      <c r="I5" s="627"/>
      <c r="J5" s="627"/>
      <c r="K5" s="627"/>
      <c r="L5" s="627"/>
      <c r="M5" s="627"/>
      <c r="N5" s="627"/>
      <c r="O5" s="627"/>
      <c r="P5" s="627"/>
      <c r="Q5" s="627"/>
      <c r="R5" s="627"/>
      <c r="S5" s="627"/>
      <c r="T5" s="627"/>
      <c r="U5" s="627"/>
      <c r="V5" s="627"/>
      <c r="W5" s="627"/>
      <c r="X5" s="627"/>
      <c r="Y5" s="627"/>
      <c r="Z5" s="627"/>
      <c r="AA5" s="628"/>
      <c r="AD5" s="61"/>
      <c r="AE5" s="61"/>
      <c r="AF5" s="61"/>
      <c r="AG5" s="61"/>
      <c r="AH5" s="61"/>
      <c r="AI5" s="61"/>
      <c r="AJ5" s="61"/>
      <c r="AK5" s="61"/>
      <c r="AL5" s="61"/>
    </row>
    <row r="6" spans="1:42" ht="20.100000000000001" customHeight="1">
      <c r="B6" s="646" t="s">
        <v>57</v>
      </c>
      <c r="C6" s="647"/>
      <c r="D6" s="647"/>
      <c r="E6" s="647"/>
      <c r="F6" s="647"/>
      <c r="G6" s="663"/>
      <c r="H6" s="663" t="s">
        <v>58</v>
      </c>
      <c r="I6" s="664"/>
      <c r="J6" s="664"/>
      <c r="K6" s="664"/>
      <c r="L6" s="664"/>
      <c r="M6" s="664"/>
      <c r="N6" s="663" t="s">
        <v>59</v>
      </c>
      <c r="O6" s="664"/>
      <c r="P6" s="664"/>
      <c r="Q6" s="663" t="s">
        <v>60</v>
      </c>
      <c r="R6" s="664"/>
      <c r="S6" s="664"/>
      <c r="T6" s="664"/>
      <c r="U6" s="664"/>
      <c r="V6" s="664"/>
      <c r="W6" s="664"/>
      <c r="X6" s="683"/>
      <c r="Y6" s="664" t="s">
        <v>61</v>
      </c>
      <c r="Z6" s="664"/>
      <c r="AA6" s="665"/>
    </row>
    <row r="7" spans="1:42" ht="20.100000000000001" customHeight="1">
      <c r="B7" s="625" t="s">
        <v>62</v>
      </c>
      <c r="C7" s="650"/>
      <c r="D7" s="682" t="s">
        <v>250</v>
      </c>
      <c r="E7" s="610"/>
      <c r="F7" s="610"/>
      <c r="G7" s="610"/>
      <c r="H7" s="641" t="str">
        <f t="shared" ref="H7:H9" si="0">+C13</f>
        <v>あけみず</v>
      </c>
      <c r="I7" s="642"/>
      <c r="J7" s="642"/>
      <c r="K7" s="642"/>
      <c r="L7" s="642"/>
      <c r="M7" s="642"/>
      <c r="N7" s="670" t="s">
        <v>373</v>
      </c>
      <c r="O7" s="671"/>
      <c r="P7" s="672"/>
      <c r="Q7" s="677"/>
      <c r="R7" s="678"/>
      <c r="S7" s="678"/>
      <c r="T7" s="678"/>
      <c r="U7" s="678"/>
      <c r="V7" s="678"/>
      <c r="W7" s="678"/>
      <c r="X7" s="679"/>
      <c r="Y7" s="680"/>
      <c r="Z7" s="680"/>
      <c r="AA7" s="681"/>
    </row>
    <row r="8" spans="1:42" ht="20.100000000000001" customHeight="1">
      <c r="B8" s="646" t="s">
        <v>63</v>
      </c>
      <c r="C8" s="647"/>
      <c r="D8" s="648"/>
      <c r="E8" s="648"/>
      <c r="F8" s="648"/>
      <c r="G8" s="649"/>
      <c r="H8" s="641" t="str">
        <f t="shared" si="0"/>
        <v>幸水</v>
      </c>
      <c r="I8" s="642"/>
      <c r="J8" s="642"/>
      <c r="K8" s="642"/>
      <c r="L8" s="642"/>
      <c r="M8" s="642"/>
      <c r="N8" s="670" t="str">
        <f t="shared" ref="N8:N9" si="1">+F14</f>
        <v>15.0ha</v>
      </c>
      <c r="O8" s="671"/>
      <c r="P8" s="672"/>
      <c r="Q8" s="660"/>
      <c r="R8" s="661"/>
      <c r="S8" s="661"/>
      <c r="T8" s="661"/>
      <c r="U8" s="661"/>
      <c r="V8" s="661"/>
      <c r="W8" s="661"/>
      <c r="X8" s="662"/>
      <c r="Y8" s="663"/>
      <c r="Z8" s="664"/>
      <c r="AA8" s="665"/>
    </row>
    <row r="9" spans="1:42" ht="20.100000000000001" customHeight="1">
      <c r="B9" s="646" t="s">
        <v>64</v>
      </c>
      <c r="C9" s="647"/>
      <c r="D9" s="667" t="s">
        <v>251</v>
      </c>
      <c r="E9" s="668"/>
      <c r="F9" s="668"/>
      <c r="G9" s="669"/>
      <c r="H9" s="641" t="str">
        <f t="shared" si="0"/>
        <v>豊水</v>
      </c>
      <c r="I9" s="642"/>
      <c r="J9" s="642"/>
      <c r="K9" s="642"/>
      <c r="L9" s="642"/>
      <c r="M9" s="642"/>
      <c r="N9" s="670" t="str">
        <f t="shared" si="1"/>
        <v>10.0ha</v>
      </c>
      <c r="O9" s="671"/>
      <c r="P9" s="672"/>
      <c r="Q9" s="660"/>
      <c r="R9" s="661"/>
      <c r="S9" s="661"/>
      <c r="T9" s="661"/>
      <c r="U9" s="661"/>
      <c r="V9" s="661"/>
      <c r="W9" s="661"/>
      <c r="X9" s="662"/>
      <c r="Y9" s="663"/>
      <c r="Z9" s="664"/>
      <c r="AA9" s="665"/>
    </row>
    <row r="10" spans="1:42" ht="20.100000000000001" customHeight="1">
      <c r="B10" s="646" t="s">
        <v>65</v>
      </c>
      <c r="C10" s="647"/>
      <c r="D10" s="648"/>
      <c r="E10" s="648"/>
      <c r="F10" s="648"/>
      <c r="G10" s="649"/>
      <c r="H10" s="641" t="str">
        <f>+C16</f>
        <v>あきづき，甘太</v>
      </c>
      <c r="I10" s="642"/>
      <c r="J10" s="642"/>
      <c r="K10" s="642"/>
      <c r="L10" s="642"/>
      <c r="M10" s="642"/>
      <c r="N10" s="643" t="s">
        <v>374</v>
      </c>
      <c r="O10" s="644"/>
      <c r="P10" s="645"/>
      <c r="Q10" s="666"/>
      <c r="R10" s="661"/>
      <c r="S10" s="661"/>
      <c r="T10" s="661"/>
      <c r="U10" s="661"/>
      <c r="V10" s="661"/>
      <c r="W10" s="661"/>
      <c r="X10" s="662"/>
      <c r="Y10" s="664"/>
      <c r="Z10" s="664"/>
      <c r="AA10" s="665"/>
    </row>
    <row r="11" spans="1:42" ht="20.100000000000001" customHeight="1" thickBot="1">
      <c r="B11" s="626" t="s">
        <v>66</v>
      </c>
      <c r="C11" s="650"/>
      <c r="D11" s="651"/>
      <c r="E11" s="651"/>
      <c r="F11" s="651"/>
      <c r="G11" s="652"/>
      <c r="H11" s="653"/>
      <c r="I11" s="654"/>
      <c r="J11" s="654"/>
      <c r="K11" s="654"/>
      <c r="L11" s="654"/>
      <c r="M11" s="654"/>
      <c r="N11" s="640"/>
      <c r="O11" s="638"/>
      <c r="P11" s="638"/>
      <c r="Q11" s="635"/>
      <c r="R11" s="636"/>
      <c r="S11" s="636"/>
      <c r="T11" s="636"/>
      <c r="U11" s="636"/>
      <c r="V11" s="636"/>
      <c r="W11" s="636"/>
      <c r="X11" s="637"/>
      <c r="Y11" s="638"/>
      <c r="Z11" s="638"/>
      <c r="AA11" s="639"/>
    </row>
    <row r="12" spans="1:42" ht="20.100000000000001" customHeight="1">
      <c r="B12" s="655" t="s">
        <v>89</v>
      </c>
      <c r="C12" s="631" t="s">
        <v>93</v>
      </c>
      <c r="D12" s="627"/>
      <c r="E12" s="632"/>
      <c r="F12" s="46" t="s">
        <v>90</v>
      </c>
      <c r="G12" s="631">
        <v>1</v>
      </c>
      <c r="H12" s="627"/>
      <c r="I12" s="627"/>
      <c r="J12" s="631">
        <v>2</v>
      </c>
      <c r="K12" s="627"/>
      <c r="L12" s="632"/>
      <c r="M12" s="627">
        <v>3</v>
      </c>
      <c r="N12" s="627"/>
      <c r="O12" s="634"/>
      <c r="P12" s="631">
        <v>4</v>
      </c>
      <c r="Q12" s="627"/>
      <c r="R12" s="632"/>
      <c r="S12" s="633">
        <v>5</v>
      </c>
      <c r="T12" s="627"/>
      <c r="U12" s="634"/>
      <c r="V12" s="631">
        <v>6</v>
      </c>
      <c r="W12" s="627"/>
      <c r="X12" s="632"/>
      <c r="Y12" s="633">
        <v>7</v>
      </c>
      <c r="Z12" s="627"/>
      <c r="AA12" s="634"/>
      <c r="AB12" s="631">
        <v>8</v>
      </c>
      <c r="AC12" s="627"/>
      <c r="AD12" s="632"/>
      <c r="AE12" s="633">
        <v>9</v>
      </c>
      <c r="AF12" s="627"/>
      <c r="AG12" s="634"/>
      <c r="AH12" s="631">
        <v>10</v>
      </c>
      <c r="AI12" s="627"/>
      <c r="AJ12" s="632"/>
      <c r="AK12" s="631">
        <v>11</v>
      </c>
      <c r="AL12" s="627"/>
      <c r="AM12" s="632"/>
      <c r="AN12" s="627">
        <v>12</v>
      </c>
      <c r="AO12" s="627"/>
      <c r="AP12" s="628"/>
    </row>
    <row r="13" spans="1:42" ht="20.100000000000001" customHeight="1">
      <c r="B13" s="656"/>
      <c r="C13" s="629" t="s">
        <v>276</v>
      </c>
      <c r="D13" s="630"/>
      <c r="E13" s="630"/>
      <c r="F13" s="63" t="str">
        <f>+N7</f>
        <v>7.0ha</v>
      </c>
      <c r="G13" s="347"/>
      <c r="H13" s="348"/>
      <c r="I13" s="349"/>
      <c r="J13" s="350"/>
      <c r="K13" s="348"/>
      <c r="L13" s="349"/>
      <c r="M13" s="350"/>
      <c r="N13" s="348"/>
      <c r="O13" s="349"/>
      <c r="P13" s="350"/>
      <c r="Q13" s="348"/>
      <c r="R13" s="349" t="s">
        <v>274</v>
      </c>
      <c r="S13" s="350"/>
      <c r="T13" s="348"/>
      <c r="U13" s="349"/>
      <c r="V13" s="350"/>
      <c r="W13" s="348"/>
      <c r="X13" s="349"/>
      <c r="Y13" s="350"/>
      <c r="Z13" s="348"/>
      <c r="AA13" s="348"/>
      <c r="AB13" s="351"/>
      <c r="AC13" s="352"/>
      <c r="AD13" s="349"/>
      <c r="AE13" s="350"/>
      <c r="AF13" s="348"/>
      <c r="AG13" s="348"/>
      <c r="AH13" s="350"/>
      <c r="AI13" s="348"/>
      <c r="AJ13" s="349"/>
      <c r="AK13" s="348"/>
      <c r="AL13" s="348"/>
      <c r="AM13" s="349"/>
      <c r="AN13" s="350"/>
      <c r="AO13" s="348"/>
      <c r="AP13" s="353"/>
    </row>
    <row r="14" spans="1:42" ht="20.100000000000001" customHeight="1">
      <c r="B14" s="656"/>
      <c r="C14" s="629" t="s">
        <v>252</v>
      </c>
      <c r="D14" s="630"/>
      <c r="E14" s="630"/>
      <c r="F14" s="53" t="s">
        <v>272</v>
      </c>
      <c r="G14" s="354"/>
      <c r="H14" s="355"/>
      <c r="I14" s="356"/>
      <c r="J14" s="357"/>
      <c r="K14" s="355"/>
      <c r="L14" s="356"/>
      <c r="M14" s="357"/>
      <c r="N14" s="355"/>
      <c r="O14" s="356"/>
      <c r="P14" s="357"/>
      <c r="Q14" s="355"/>
      <c r="R14" s="356" t="s">
        <v>274</v>
      </c>
      <c r="S14" s="357"/>
      <c r="T14" s="355"/>
      <c r="U14" s="356"/>
      <c r="V14" s="357"/>
      <c r="W14" s="355"/>
      <c r="X14" s="355"/>
      <c r="Y14" s="357"/>
      <c r="Z14" s="355"/>
      <c r="AA14" s="356"/>
      <c r="AB14" s="357"/>
      <c r="AC14" s="355"/>
      <c r="AD14" s="351"/>
      <c r="AE14" s="358"/>
      <c r="AF14" s="355"/>
      <c r="AG14" s="356"/>
      <c r="AH14" s="357"/>
      <c r="AI14" s="355"/>
      <c r="AJ14" s="356"/>
      <c r="AK14" s="357"/>
      <c r="AL14" s="355"/>
      <c r="AM14" s="356"/>
      <c r="AN14" s="355"/>
      <c r="AO14" s="355"/>
      <c r="AP14" s="359"/>
    </row>
    <row r="15" spans="1:42" ht="20.100000000000001" customHeight="1">
      <c r="B15" s="656"/>
      <c r="C15" s="629" t="s">
        <v>253</v>
      </c>
      <c r="D15" s="630"/>
      <c r="E15" s="630"/>
      <c r="F15" s="53" t="s">
        <v>273</v>
      </c>
      <c r="G15" s="354"/>
      <c r="H15" s="355"/>
      <c r="I15" s="356"/>
      <c r="J15" s="357"/>
      <c r="K15" s="355"/>
      <c r="L15" s="356"/>
      <c r="M15" s="357"/>
      <c r="N15" s="355"/>
      <c r="O15" s="356"/>
      <c r="P15" s="357"/>
      <c r="Q15" s="355"/>
      <c r="R15" s="356" t="s">
        <v>274</v>
      </c>
      <c r="S15" s="357"/>
      <c r="T15" s="355"/>
      <c r="U15" s="356"/>
      <c r="V15" s="357"/>
      <c r="W15" s="355"/>
      <c r="X15" s="356"/>
      <c r="Y15" s="357"/>
      <c r="Z15" s="355"/>
      <c r="AA15" s="356"/>
      <c r="AB15" s="357"/>
      <c r="AC15" s="355"/>
      <c r="AD15" s="355"/>
      <c r="AE15" s="351"/>
      <c r="AF15" s="360"/>
      <c r="AG15" s="352"/>
      <c r="AH15" s="355"/>
      <c r="AI15" s="355"/>
      <c r="AJ15" s="356"/>
      <c r="AK15" s="357"/>
      <c r="AL15" s="355"/>
      <c r="AM15" s="356"/>
      <c r="AN15" s="357"/>
      <c r="AO15" s="355"/>
      <c r="AP15" s="359"/>
    </row>
    <row r="16" spans="1:42" ht="20.100000000000001" customHeight="1">
      <c r="B16" s="656"/>
      <c r="C16" s="629" t="s">
        <v>419</v>
      </c>
      <c r="D16" s="630"/>
      <c r="E16" s="630"/>
      <c r="F16" s="53" t="str">
        <f>+N10</f>
        <v>8.0ha</v>
      </c>
      <c r="G16" s="354"/>
      <c r="H16" s="355"/>
      <c r="I16" s="356"/>
      <c r="J16" s="357"/>
      <c r="K16" s="355"/>
      <c r="L16" s="356"/>
      <c r="M16" s="357"/>
      <c r="N16" s="355"/>
      <c r="O16" s="356"/>
      <c r="P16" s="357"/>
      <c r="Q16" s="355"/>
      <c r="R16" s="356" t="s">
        <v>274</v>
      </c>
      <c r="S16" s="357"/>
      <c r="T16" s="355"/>
      <c r="U16" s="356"/>
      <c r="V16" s="357"/>
      <c r="W16" s="355"/>
      <c r="X16" s="356"/>
      <c r="Y16" s="357"/>
      <c r="Z16" s="355"/>
      <c r="AA16" s="356"/>
      <c r="AB16" s="357"/>
      <c r="AC16" s="355"/>
      <c r="AD16" s="355"/>
      <c r="AE16" s="335"/>
      <c r="AF16" s="65"/>
      <c r="AH16" s="362"/>
      <c r="AI16" s="363"/>
      <c r="AJ16" s="356"/>
      <c r="AK16" s="357"/>
      <c r="AL16" s="355"/>
      <c r="AM16" s="356"/>
      <c r="AN16" s="357"/>
      <c r="AO16" s="355"/>
      <c r="AP16" s="359"/>
    </row>
    <row r="17" spans="2:42" ht="20.100000000000001" customHeight="1">
      <c r="B17" s="656"/>
      <c r="C17" s="629"/>
      <c r="D17" s="630"/>
      <c r="E17" s="630"/>
      <c r="F17" s="70"/>
      <c r="G17" s="64"/>
      <c r="H17" s="65"/>
      <c r="I17" s="65"/>
      <c r="J17" s="64"/>
      <c r="K17" s="65"/>
      <c r="L17" s="66"/>
      <c r="M17" s="65"/>
      <c r="N17" s="65"/>
      <c r="O17" s="67"/>
      <c r="P17" s="64"/>
      <c r="Q17" s="65"/>
      <c r="R17" s="66"/>
      <c r="S17" s="68"/>
      <c r="T17" s="65"/>
      <c r="U17" s="67"/>
      <c r="V17" s="64"/>
      <c r="W17" s="65"/>
      <c r="X17" s="66"/>
      <c r="Y17" s="68"/>
      <c r="Z17" s="65"/>
      <c r="AA17" s="67"/>
      <c r="AB17" s="64"/>
      <c r="AC17" s="65"/>
      <c r="AD17" s="66"/>
      <c r="AE17" s="64"/>
      <c r="AF17" s="65"/>
      <c r="AG17" s="76"/>
      <c r="AH17" s="361"/>
      <c r="AI17" s="65"/>
      <c r="AJ17" s="66"/>
      <c r="AK17" s="64"/>
      <c r="AL17" s="65"/>
      <c r="AM17" s="66"/>
      <c r="AN17" s="65"/>
      <c r="AO17" s="65"/>
      <c r="AP17" s="69"/>
    </row>
    <row r="18" spans="2:42" ht="20.100000000000001" customHeight="1">
      <c r="B18" s="656"/>
      <c r="C18" s="629"/>
      <c r="D18" s="630"/>
      <c r="E18" s="630"/>
      <c r="F18" s="70"/>
      <c r="G18" s="64"/>
      <c r="H18" s="65"/>
      <c r="I18" s="65"/>
      <c r="J18" s="64"/>
      <c r="K18" s="65"/>
      <c r="L18" s="66"/>
      <c r="M18" s="65"/>
      <c r="N18" s="65"/>
      <c r="O18" s="67"/>
      <c r="P18" s="64"/>
      <c r="Q18" s="65"/>
      <c r="R18" s="66"/>
      <c r="S18" s="68"/>
      <c r="T18" s="65"/>
      <c r="U18" s="67"/>
      <c r="V18" s="64"/>
      <c r="W18" s="65"/>
      <c r="X18" s="66"/>
      <c r="Y18" s="68"/>
      <c r="Z18" s="65"/>
      <c r="AA18" s="67"/>
      <c r="AB18" s="64"/>
      <c r="AC18" s="65"/>
      <c r="AD18" s="66"/>
      <c r="AE18" s="64"/>
      <c r="AF18" s="65"/>
      <c r="AG18" s="66"/>
      <c r="AH18" s="64"/>
      <c r="AI18" s="65"/>
      <c r="AJ18" s="66"/>
      <c r="AK18" s="64"/>
      <c r="AL18" s="65"/>
      <c r="AM18" s="66"/>
      <c r="AN18" s="65"/>
      <c r="AO18" s="65"/>
      <c r="AP18" s="69"/>
    </row>
    <row r="19" spans="2:42" ht="20.100000000000001" customHeight="1">
      <c r="B19" s="657"/>
      <c r="C19" s="658"/>
      <c r="D19" s="659"/>
      <c r="E19" s="659"/>
      <c r="F19" s="71"/>
      <c r="G19" s="72"/>
      <c r="H19" s="73"/>
      <c r="I19" s="73"/>
      <c r="J19" s="74"/>
      <c r="K19" s="75"/>
      <c r="L19" s="76"/>
      <c r="M19" s="73"/>
      <c r="N19" s="73"/>
      <c r="O19" s="77"/>
      <c r="P19" s="74"/>
      <c r="Q19" s="75"/>
      <c r="R19" s="76"/>
      <c r="S19" s="78"/>
      <c r="T19" s="73"/>
      <c r="U19" s="77"/>
      <c r="V19" s="74"/>
      <c r="W19" s="75"/>
      <c r="X19" s="76"/>
      <c r="Y19" s="78"/>
      <c r="Z19" s="73"/>
      <c r="AA19" s="77"/>
      <c r="AB19" s="74"/>
      <c r="AC19" s="75"/>
      <c r="AD19" s="76"/>
      <c r="AE19" s="74"/>
      <c r="AF19" s="75"/>
      <c r="AG19" s="76"/>
      <c r="AH19" s="74"/>
      <c r="AI19" s="75"/>
      <c r="AJ19" s="76"/>
      <c r="AK19" s="74"/>
      <c r="AL19" s="75"/>
      <c r="AM19" s="76"/>
      <c r="AN19" s="75"/>
      <c r="AO19" s="75"/>
      <c r="AP19" s="79"/>
    </row>
    <row r="20" spans="2:42" ht="20.100000000000001" customHeight="1">
      <c r="B20" s="624" t="s">
        <v>67</v>
      </c>
      <c r="C20" s="607"/>
      <c r="D20" s="608"/>
      <c r="E20" s="608"/>
      <c r="F20" s="608"/>
      <c r="G20" s="608"/>
      <c r="H20" s="608"/>
      <c r="I20" s="608"/>
      <c r="J20" s="608"/>
      <c r="K20" s="608"/>
      <c r="L20" s="608"/>
      <c r="M20" s="608"/>
      <c r="N20" s="608"/>
      <c r="O20" s="608"/>
      <c r="P20" s="608"/>
      <c r="Q20" s="608"/>
      <c r="R20" s="608"/>
      <c r="S20" s="608"/>
      <c r="T20" s="608"/>
      <c r="U20" s="608"/>
      <c r="V20" s="608"/>
      <c r="W20" s="608"/>
      <c r="X20" s="608"/>
      <c r="Y20" s="608"/>
      <c r="Z20" s="608"/>
      <c r="AA20" s="608"/>
      <c r="AB20" s="608"/>
      <c r="AC20" s="608"/>
      <c r="AD20" s="608"/>
      <c r="AE20" s="608"/>
      <c r="AF20" s="608"/>
      <c r="AG20" s="608"/>
      <c r="AH20" s="608"/>
      <c r="AI20" s="608"/>
      <c r="AJ20" s="608"/>
      <c r="AK20" s="608"/>
      <c r="AL20" s="608"/>
      <c r="AM20" s="608"/>
      <c r="AN20" s="608"/>
      <c r="AO20" s="608"/>
      <c r="AP20" s="609"/>
    </row>
    <row r="21" spans="2:42" ht="20.100000000000001" customHeight="1">
      <c r="B21" s="625"/>
      <c r="C21" s="345"/>
      <c r="D21" s="346" t="s">
        <v>269</v>
      </c>
      <c r="E21" s="346"/>
      <c r="F21" s="346" t="s">
        <v>271</v>
      </c>
      <c r="G21" s="346"/>
      <c r="H21" s="346"/>
      <c r="I21" s="346"/>
      <c r="J21" s="346"/>
      <c r="K21" s="346" t="s">
        <v>270</v>
      </c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80"/>
      <c r="W21" s="80"/>
      <c r="Y21" s="610" t="s">
        <v>94</v>
      </c>
      <c r="Z21" s="610"/>
      <c r="AA21" s="610"/>
      <c r="AB21" s="610"/>
      <c r="AC21" s="80"/>
      <c r="AD21" s="80"/>
      <c r="AI21" s="80"/>
      <c r="AJ21" s="80"/>
      <c r="AK21" s="80"/>
      <c r="AL21" s="80"/>
      <c r="AM21" s="80"/>
      <c r="AN21" s="80"/>
      <c r="AO21" s="80"/>
      <c r="AP21" s="81"/>
    </row>
    <row r="22" spans="2:42" ht="20.100000000000001" customHeight="1" thickBot="1">
      <c r="B22" s="626"/>
      <c r="C22" s="611"/>
      <c r="D22" s="612"/>
      <c r="E22" s="612"/>
      <c r="F22" s="612"/>
      <c r="G22" s="612"/>
      <c r="H22" s="612"/>
      <c r="I22" s="612"/>
      <c r="J22" s="612"/>
      <c r="K22" s="612"/>
      <c r="L22" s="612"/>
      <c r="M22" s="612"/>
      <c r="N22" s="612"/>
      <c r="O22" s="612"/>
      <c r="P22" s="612"/>
      <c r="Q22" s="612"/>
      <c r="R22" s="612"/>
      <c r="S22" s="612"/>
      <c r="T22" s="612"/>
      <c r="U22" s="612"/>
      <c r="V22" s="612"/>
      <c r="W22" s="612"/>
      <c r="X22" s="612"/>
      <c r="Y22" s="612"/>
      <c r="Z22" s="612"/>
      <c r="AA22" s="612"/>
      <c r="AB22" s="612"/>
      <c r="AC22" s="612"/>
      <c r="AD22" s="612"/>
      <c r="AE22" s="612"/>
      <c r="AF22" s="612"/>
      <c r="AG22" s="612"/>
      <c r="AH22" s="612"/>
      <c r="AI22" s="612"/>
      <c r="AJ22" s="612"/>
      <c r="AK22" s="612"/>
      <c r="AL22" s="612"/>
      <c r="AM22" s="612"/>
      <c r="AN22" s="612"/>
      <c r="AO22" s="612"/>
      <c r="AP22" s="613"/>
    </row>
    <row r="23" spans="2:42" ht="9.9499999999999993" customHeight="1"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</row>
    <row r="24" spans="2:42" ht="24.95" customHeight="1" thickBot="1">
      <c r="B24" s="45" t="s">
        <v>95</v>
      </c>
    </row>
    <row r="25" spans="2:42" ht="20.100000000000001" customHeight="1" thickBot="1">
      <c r="B25" s="614" t="s">
        <v>16</v>
      </c>
      <c r="C25" s="615"/>
      <c r="D25" s="615"/>
      <c r="E25" s="615"/>
      <c r="F25" s="615"/>
      <c r="G25" s="615"/>
      <c r="H25" s="615"/>
      <c r="I25" s="615"/>
      <c r="J25" s="615"/>
      <c r="K25" s="615"/>
      <c r="L25" s="615"/>
      <c r="M25" s="615"/>
      <c r="N25" s="616"/>
      <c r="O25" s="617" t="s">
        <v>15</v>
      </c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  <c r="AC25" s="618"/>
      <c r="AD25" s="618"/>
      <c r="AE25" s="618"/>
      <c r="AF25" s="618"/>
      <c r="AG25" s="618"/>
      <c r="AH25" s="618"/>
      <c r="AI25" s="618"/>
      <c r="AJ25" s="618"/>
      <c r="AK25" s="618"/>
      <c r="AL25" s="618"/>
      <c r="AM25" s="618"/>
      <c r="AN25" s="618"/>
      <c r="AO25" s="618"/>
      <c r="AP25" s="619"/>
    </row>
    <row r="26" spans="2:42" ht="39.950000000000003" customHeight="1">
      <c r="B26" s="620" t="s">
        <v>11</v>
      </c>
      <c r="C26" s="603"/>
      <c r="D26" s="603"/>
      <c r="E26" s="621" t="s">
        <v>275</v>
      </c>
      <c r="F26" s="622"/>
      <c r="G26" s="622"/>
      <c r="H26" s="622"/>
      <c r="I26" s="622"/>
      <c r="J26" s="622"/>
      <c r="K26" s="622"/>
      <c r="L26" s="622"/>
      <c r="M26" s="622"/>
      <c r="N26" s="623"/>
      <c r="O26" s="602" t="s">
        <v>8</v>
      </c>
      <c r="P26" s="603"/>
      <c r="Q26" s="603"/>
      <c r="R26" s="603"/>
      <c r="S26" s="603"/>
      <c r="T26" s="604" t="s">
        <v>516</v>
      </c>
      <c r="U26" s="605"/>
      <c r="V26" s="605"/>
      <c r="W26" s="605"/>
      <c r="X26" s="605"/>
      <c r="Y26" s="605"/>
      <c r="Z26" s="605"/>
      <c r="AA26" s="605"/>
      <c r="AB26" s="605"/>
      <c r="AC26" s="605"/>
      <c r="AD26" s="605"/>
      <c r="AE26" s="605"/>
      <c r="AF26" s="605"/>
      <c r="AG26" s="605"/>
      <c r="AH26" s="605"/>
      <c r="AI26" s="605"/>
      <c r="AJ26" s="605"/>
      <c r="AK26" s="605"/>
      <c r="AL26" s="605"/>
      <c r="AM26" s="605"/>
      <c r="AN26" s="605"/>
      <c r="AO26" s="605"/>
      <c r="AP26" s="606"/>
    </row>
    <row r="27" spans="2:42" ht="39.950000000000003" customHeight="1">
      <c r="B27" s="593" t="s">
        <v>12</v>
      </c>
      <c r="C27" s="594"/>
      <c r="D27" s="594"/>
      <c r="E27" s="595" t="s">
        <v>540</v>
      </c>
      <c r="F27" s="596"/>
      <c r="G27" s="596"/>
      <c r="H27" s="596"/>
      <c r="I27" s="596"/>
      <c r="J27" s="596"/>
      <c r="K27" s="596"/>
      <c r="L27" s="596"/>
      <c r="M27" s="596"/>
      <c r="N27" s="597"/>
      <c r="O27" s="598" t="s">
        <v>9</v>
      </c>
      <c r="P27" s="594"/>
      <c r="Q27" s="594"/>
      <c r="R27" s="594"/>
      <c r="S27" s="594"/>
      <c r="T27" s="595" t="s">
        <v>319</v>
      </c>
      <c r="U27" s="596"/>
      <c r="V27" s="596"/>
      <c r="W27" s="596"/>
      <c r="X27" s="596"/>
      <c r="Y27" s="596"/>
      <c r="Z27" s="596"/>
      <c r="AA27" s="596"/>
      <c r="AB27" s="596"/>
      <c r="AC27" s="596"/>
      <c r="AD27" s="596"/>
      <c r="AE27" s="596"/>
      <c r="AF27" s="596"/>
      <c r="AG27" s="596"/>
      <c r="AH27" s="596"/>
      <c r="AI27" s="596"/>
      <c r="AJ27" s="596"/>
      <c r="AK27" s="596"/>
      <c r="AL27" s="596"/>
      <c r="AM27" s="596"/>
      <c r="AN27" s="596"/>
      <c r="AO27" s="596"/>
      <c r="AP27" s="597"/>
    </row>
    <row r="28" spans="2:42" ht="39.950000000000003" customHeight="1">
      <c r="B28" s="593" t="s">
        <v>13</v>
      </c>
      <c r="C28" s="594"/>
      <c r="D28" s="594"/>
      <c r="E28" s="595" t="s">
        <v>541</v>
      </c>
      <c r="F28" s="596"/>
      <c r="G28" s="596"/>
      <c r="H28" s="596"/>
      <c r="I28" s="596"/>
      <c r="J28" s="596"/>
      <c r="K28" s="596"/>
      <c r="L28" s="596"/>
      <c r="M28" s="596"/>
      <c r="N28" s="597"/>
      <c r="O28" s="598" t="s">
        <v>10</v>
      </c>
      <c r="P28" s="594"/>
      <c r="Q28" s="594"/>
      <c r="R28" s="594"/>
      <c r="S28" s="594"/>
      <c r="T28" s="595" t="s">
        <v>277</v>
      </c>
      <c r="U28" s="596"/>
      <c r="V28" s="596"/>
      <c r="W28" s="596"/>
      <c r="X28" s="596"/>
      <c r="Y28" s="596"/>
      <c r="Z28" s="596"/>
      <c r="AA28" s="596"/>
      <c r="AB28" s="596"/>
      <c r="AC28" s="596"/>
      <c r="AD28" s="596"/>
      <c r="AE28" s="596"/>
      <c r="AF28" s="596"/>
      <c r="AG28" s="596"/>
      <c r="AH28" s="596"/>
      <c r="AI28" s="596"/>
      <c r="AJ28" s="596"/>
      <c r="AK28" s="596"/>
      <c r="AL28" s="596"/>
      <c r="AM28" s="596"/>
      <c r="AN28" s="596"/>
      <c r="AO28" s="596"/>
      <c r="AP28" s="597"/>
    </row>
    <row r="29" spans="2:42" ht="39.950000000000003" customHeight="1" thickBot="1">
      <c r="B29" s="601" t="s">
        <v>14</v>
      </c>
      <c r="C29" s="600"/>
      <c r="D29" s="600"/>
      <c r="E29" s="590" t="s">
        <v>542</v>
      </c>
      <c r="F29" s="591"/>
      <c r="G29" s="591"/>
      <c r="H29" s="591"/>
      <c r="I29" s="591"/>
      <c r="J29" s="591"/>
      <c r="K29" s="591"/>
      <c r="L29" s="591"/>
      <c r="M29" s="591"/>
      <c r="N29" s="592"/>
      <c r="O29" s="599"/>
      <c r="P29" s="600"/>
      <c r="Q29" s="600"/>
      <c r="R29" s="600"/>
      <c r="S29" s="600"/>
      <c r="T29" s="591"/>
      <c r="U29" s="591"/>
      <c r="V29" s="591"/>
      <c r="W29" s="591"/>
      <c r="X29" s="591"/>
      <c r="Y29" s="591"/>
      <c r="Z29" s="591"/>
      <c r="AA29" s="591"/>
      <c r="AB29" s="591"/>
      <c r="AC29" s="591"/>
      <c r="AD29" s="591"/>
      <c r="AE29" s="591"/>
      <c r="AF29" s="591"/>
      <c r="AG29" s="591"/>
      <c r="AH29" s="591"/>
      <c r="AI29" s="591"/>
      <c r="AJ29" s="591"/>
      <c r="AK29" s="591"/>
      <c r="AL29" s="591"/>
      <c r="AM29" s="591"/>
      <c r="AN29" s="591"/>
      <c r="AO29" s="591"/>
      <c r="AP29" s="592"/>
    </row>
    <row r="30" spans="2:42" ht="9.75" customHeight="1">
      <c r="B30" s="59"/>
    </row>
  </sheetData>
  <mergeCells count="85"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  <mergeCell ref="B9:C9"/>
    <mergeCell ref="D9:G9"/>
    <mergeCell ref="H9:M9"/>
    <mergeCell ref="N9:P9"/>
    <mergeCell ref="B8:C8"/>
    <mergeCell ref="D8:G8"/>
    <mergeCell ref="H8:M8"/>
    <mergeCell ref="N8:P8"/>
    <mergeCell ref="Q8:X8"/>
    <mergeCell ref="Y8:AA8"/>
    <mergeCell ref="Q9:X9"/>
    <mergeCell ref="Y9:AA9"/>
    <mergeCell ref="Q10:X10"/>
    <mergeCell ref="Y10:AA10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C16:E16"/>
    <mergeCell ref="C17:E17"/>
    <mergeCell ref="C18:E18"/>
    <mergeCell ref="C19:E19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AN12:AP12"/>
    <mergeCell ref="C13:E13"/>
    <mergeCell ref="C14:E14"/>
    <mergeCell ref="C15:E15"/>
    <mergeCell ref="AB12:AD12"/>
    <mergeCell ref="AE12:AG12"/>
    <mergeCell ref="O26:S26"/>
    <mergeCell ref="T26:AP26"/>
    <mergeCell ref="C20:AP20"/>
    <mergeCell ref="Y21:AB21"/>
    <mergeCell ref="C22:AP22"/>
    <mergeCell ref="B25:N25"/>
    <mergeCell ref="O25:AP25"/>
    <mergeCell ref="B26:D26"/>
    <mergeCell ref="E26:N26"/>
    <mergeCell ref="B20:B22"/>
    <mergeCell ref="E29:N29"/>
    <mergeCell ref="B27:D27"/>
    <mergeCell ref="E27:N27"/>
    <mergeCell ref="O27:S27"/>
    <mergeCell ref="T27:AP27"/>
    <mergeCell ref="B28:D28"/>
    <mergeCell ref="E28:N28"/>
    <mergeCell ref="O28:S29"/>
    <mergeCell ref="T28:AP29"/>
    <mergeCell ref="B29:D29"/>
    <mergeCell ref="C2:D2"/>
    <mergeCell ref="F2:N2"/>
    <mergeCell ref="Y2:AA2"/>
    <mergeCell ref="O2:Q2"/>
    <mergeCell ref="R2:U2"/>
    <mergeCell ref="V2:X2"/>
  </mergeCells>
  <phoneticPr fontId="3"/>
  <pageMargins left="0.78740157480314965" right="0.78740157480314965" top="0.78740157480314965" bottom="0.78740157480314965" header="0.39370078740157483" footer="0.39370078740157483"/>
  <pageSetup paperSize="9" scale="7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4"/>
  <sheetViews>
    <sheetView zoomScale="75" zoomScaleNormal="75" zoomScaleSheetLayoutView="75" workbookViewId="0"/>
  </sheetViews>
  <sheetFormatPr defaultColWidth="10.875" defaultRowHeight="13.5"/>
  <cols>
    <col min="1" max="1" width="1.625" style="83" customWidth="1"/>
    <col min="2" max="2" width="5.875" style="83" customWidth="1"/>
    <col min="3" max="3" width="10.625" style="83" customWidth="1"/>
    <col min="4" max="4" width="12.375" style="83" customWidth="1"/>
    <col min="5" max="5" width="14.625" style="83" customWidth="1"/>
    <col min="6" max="7" width="15.875" style="83" customWidth="1"/>
    <col min="8" max="8" width="10.875" style="83"/>
    <col min="9" max="9" width="11.375" style="83" bestFit="1" customWidth="1"/>
    <col min="10" max="10" width="13.375" style="83" customWidth="1"/>
    <col min="11" max="11" width="7.125" style="83" customWidth="1"/>
    <col min="12" max="12" width="15.375" style="83" customWidth="1"/>
    <col min="13" max="13" width="9.375" style="83" bestFit="1" customWidth="1"/>
    <col min="14" max="14" width="10.875" style="83"/>
    <col min="15" max="15" width="7.25" style="83" customWidth="1"/>
    <col min="16" max="16" width="9.625" style="83" customWidth="1"/>
    <col min="17" max="17" width="10.875" style="83" customWidth="1"/>
    <col min="18" max="18" width="7.5" style="83" customWidth="1"/>
    <col min="19" max="19" width="3.75" style="83" customWidth="1"/>
    <col min="20" max="16384" width="10.875" style="83"/>
  </cols>
  <sheetData>
    <row r="1" spans="2:19" s="84" customFormat="1" ht="9.9499999999999993" customHeight="1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2:19" s="84" customFormat="1" ht="24.95" customHeight="1" thickBot="1">
      <c r="B2" s="1" t="s">
        <v>595</v>
      </c>
      <c r="H2" s="85" t="s">
        <v>188</v>
      </c>
      <c r="I2" s="1" t="s">
        <v>448</v>
      </c>
      <c r="K2" s="85" t="s">
        <v>189</v>
      </c>
      <c r="L2" s="1" t="s">
        <v>294</v>
      </c>
      <c r="N2" s="83"/>
      <c r="O2" s="83"/>
      <c r="Q2" s="2"/>
      <c r="R2" s="2"/>
    </row>
    <row r="3" spans="2:19" s="84" customFormat="1" ht="18" customHeight="1">
      <c r="B3" s="784" t="s">
        <v>17</v>
      </c>
      <c r="C3" s="785"/>
      <c r="D3" s="785"/>
      <c r="E3" s="786"/>
      <c r="F3" s="113" t="s">
        <v>18</v>
      </c>
      <c r="G3" s="87"/>
      <c r="H3" s="88" t="s">
        <v>19</v>
      </c>
      <c r="I3" s="86"/>
      <c r="J3" s="86"/>
      <c r="K3" s="787" t="s">
        <v>160</v>
      </c>
      <c r="L3" s="788"/>
      <c r="M3" s="788"/>
      <c r="N3" s="788"/>
      <c r="O3" s="788"/>
      <c r="P3" s="788"/>
      <c r="Q3" s="788"/>
      <c r="R3" s="788"/>
      <c r="S3" s="789"/>
    </row>
    <row r="4" spans="2:19" s="84" customFormat="1" ht="18" customHeight="1">
      <c r="B4" s="782" t="s">
        <v>20</v>
      </c>
      <c r="C4" s="783"/>
      <c r="D4" s="175" t="s">
        <v>155</v>
      </c>
      <c r="E4" s="183"/>
      <c r="F4" s="182">
        <f>R6</f>
        <v>1217066.6666666665</v>
      </c>
      <c r="G4" s="175" t="s">
        <v>146</v>
      </c>
      <c r="H4" s="99"/>
      <c r="I4" s="99"/>
      <c r="J4" s="99"/>
      <c r="K4" s="260" t="s">
        <v>201</v>
      </c>
      <c r="L4" s="261" t="s">
        <v>202</v>
      </c>
      <c r="M4" s="181" t="s">
        <v>21</v>
      </c>
      <c r="N4" s="181" t="s">
        <v>20</v>
      </c>
      <c r="O4" s="261" t="s">
        <v>201</v>
      </c>
      <c r="P4" s="261" t="s">
        <v>203</v>
      </c>
      <c r="Q4" s="181" t="s">
        <v>21</v>
      </c>
      <c r="R4" s="790" t="s">
        <v>20</v>
      </c>
      <c r="S4" s="791"/>
    </row>
    <row r="5" spans="2:19" s="84" customFormat="1" ht="18" customHeight="1">
      <c r="B5" s="782"/>
      <c r="C5" s="783"/>
      <c r="D5" s="175" t="s">
        <v>70</v>
      </c>
      <c r="E5" s="183"/>
      <c r="F5" s="182"/>
      <c r="G5" s="151"/>
      <c r="H5" s="184"/>
      <c r="I5" s="184"/>
      <c r="J5" s="184"/>
      <c r="K5" s="259">
        <v>8</v>
      </c>
      <c r="L5" s="182">
        <f>+'4.経営収支(法人様式）'!G5</f>
        <v>3200</v>
      </c>
      <c r="M5" s="182">
        <f>'９-1　あけみず単価'!O20</f>
        <v>380.33333333333331</v>
      </c>
      <c r="N5" s="182">
        <f t="shared" ref="N5" si="0">L5*M5</f>
        <v>1217066.6666666665</v>
      </c>
      <c r="O5" s="182"/>
      <c r="P5" s="182"/>
      <c r="Q5" s="182"/>
      <c r="R5" s="792"/>
      <c r="S5" s="793"/>
    </row>
    <row r="6" spans="2:19" s="84" customFormat="1" ht="18" customHeight="1" thickBot="1">
      <c r="B6" s="769" t="s">
        <v>158</v>
      </c>
      <c r="C6" s="772" t="s">
        <v>214</v>
      </c>
      <c r="D6" s="182" t="s">
        <v>44</v>
      </c>
      <c r="E6" s="185"/>
      <c r="F6" s="182">
        <f>+P8</f>
        <v>0</v>
      </c>
      <c r="G6" s="151" t="s">
        <v>147</v>
      </c>
      <c r="H6" s="184"/>
      <c r="I6" s="184"/>
      <c r="J6" s="184"/>
      <c r="K6" s="510"/>
      <c r="L6" s="90"/>
      <c r="M6" s="90"/>
      <c r="N6" s="89"/>
      <c r="O6" s="91" t="s">
        <v>22</v>
      </c>
      <c r="P6" s="92">
        <f>SUM(L5:L6,P5:Q5)</f>
        <v>3200</v>
      </c>
      <c r="Q6" s="93">
        <f>R6/P6</f>
        <v>380.33333333333326</v>
      </c>
      <c r="R6" s="794">
        <f>SUM(N5:N6,R5:S5)</f>
        <v>1217066.6666666665</v>
      </c>
      <c r="S6" s="795"/>
    </row>
    <row r="7" spans="2:19" s="84" customFormat="1" ht="18" customHeight="1" thickTop="1">
      <c r="B7" s="770"/>
      <c r="C7" s="773"/>
      <c r="D7" s="182" t="s">
        <v>45</v>
      </c>
      <c r="E7" s="185"/>
      <c r="F7" s="182">
        <f>P17</f>
        <v>38752</v>
      </c>
      <c r="G7" s="175" t="s">
        <v>587</v>
      </c>
      <c r="H7" s="99"/>
      <c r="I7" s="99"/>
      <c r="J7" s="186"/>
      <c r="K7" s="809" t="s">
        <v>159</v>
      </c>
      <c r="L7" s="177" t="s">
        <v>121</v>
      </c>
      <c r="M7" s="178" t="s">
        <v>7</v>
      </c>
      <c r="N7" s="266" t="s">
        <v>206</v>
      </c>
      <c r="O7" s="179" t="s">
        <v>21</v>
      </c>
      <c r="P7" s="179" t="s">
        <v>24</v>
      </c>
      <c r="Q7" s="796" t="s">
        <v>25</v>
      </c>
      <c r="R7" s="797"/>
      <c r="S7" s="798"/>
    </row>
    <row r="8" spans="2:19" s="84" customFormat="1" ht="18" customHeight="1">
      <c r="B8" s="770"/>
      <c r="C8" s="773"/>
      <c r="D8" s="182" t="s">
        <v>46</v>
      </c>
      <c r="E8" s="185"/>
      <c r="F8" s="182">
        <f>P23</f>
        <v>58858.85</v>
      </c>
      <c r="G8" s="153" t="s">
        <v>588</v>
      </c>
      <c r="H8" s="164"/>
      <c r="I8" s="164"/>
      <c r="J8" s="187"/>
      <c r="K8" s="810"/>
      <c r="L8" s="249"/>
      <c r="M8" s="265" t="s">
        <v>207</v>
      </c>
      <c r="N8" s="116"/>
      <c r="O8" s="116"/>
      <c r="P8" s="116"/>
      <c r="Q8" s="801"/>
      <c r="R8" s="802"/>
      <c r="S8" s="803"/>
    </row>
    <row r="9" spans="2:19" s="84" customFormat="1" ht="18" customHeight="1">
      <c r="B9" s="770"/>
      <c r="C9" s="773"/>
      <c r="D9" s="182" t="s">
        <v>71</v>
      </c>
      <c r="E9" s="185"/>
      <c r="F9" s="182">
        <f>P32</f>
        <v>16400.78</v>
      </c>
      <c r="G9" s="153" t="s">
        <v>589</v>
      </c>
      <c r="H9" s="164"/>
      <c r="I9" s="164"/>
      <c r="J9" s="187"/>
      <c r="K9" s="810"/>
      <c r="L9" s="180"/>
      <c r="M9" s="176"/>
      <c r="N9" s="116"/>
      <c r="O9" s="116"/>
      <c r="P9" s="116"/>
      <c r="Q9" s="801"/>
      <c r="R9" s="802"/>
      <c r="S9" s="803"/>
    </row>
    <row r="10" spans="2:19" s="84" customFormat="1" ht="18" customHeight="1" thickBot="1">
      <c r="B10" s="770"/>
      <c r="C10" s="773"/>
      <c r="D10" s="182" t="s">
        <v>47</v>
      </c>
      <c r="E10" s="185"/>
      <c r="F10" s="182">
        <f>+'８　算出基礎'!V20</f>
        <v>25839</v>
      </c>
      <c r="G10" s="799"/>
      <c r="H10" s="800"/>
      <c r="I10" s="800"/>
      <c r="J10" s="793"/>
      <c r="K10" s="810"/>
      <c r="L10" s="97" t="s">
        <v>26</v>
      </c>
      <c r="M10" s="96"/>
      <c r="N10" s="97"/>
      <c r="O10" s="97"/>
      <c r="P10" s="97"/>
      <c r="Q10" s="759"/>
      <c r="R10" s="760"/>
      <c r="S10" s="761"/>
    </row>
    <row r="11" spans="2:19" s="84" customFormat="1" ht="18" customHeight="1" thickTop="1">
      <c r="B11" s="770"/>
      <c r="C11" s="773"/>
      <c r="D11" s="182" t="s">
        <v>4</v>
      </c>
      <c r="E11" s="185"/>
      <c r="F11" s="182">
        <f>+'８　算出基礎'!V34</f>
        <v>2230</v>
      </c>
      <c r="G11" s="799"/>
      <c r="H11" s="800"/>
      <c r="I11" s="800"/>
      <c r="J11" s="793"/>
      <c r="K11" s="810"/>
      <c r="L11" s="171" t="s">
        <v>122</v>
      </c>
      <c r="M11" s="172"/>
      <c r="N11" s="267" t="s">
        <v>206</v>
      </c>
      <c r="O11" s="173" t="s">
        <v>21</v>
      </c>
      <c r="P11" s="174" t="s">
        <v>24</v>
      </c>
      <c r="Q11" s="806" t="s">
        <v>25</v>
      </c>
      <c r="R11" s="807"/>
      <c r="S11" s="808"/>
    </row>
    <row r="12" spans="2:19" s="84" customFormat="1" ht="18" customHeight="1">
      <c r="B12" s="770"/>
      <c r="C12" s="773"/>
      <c r="D12" s="182" t="s">
        <v>5</v>
      </c>
      <c r="E12" s="185"/>
      <c r="F12" s="182">
        <v>3000</v>
      </c>
      <c r="G12" s="153" t="s">
        <v>461</v>
      </c>
      <c r="H12" s="164"/>
      <c r="I12" s="164"/>
      <c r="J12" s="187"/>
      <c r="K12" s="810"/>
      <c r="L12" s="175" t="s">
        <v>456</v>
      </c>
      <c r="M12" s="176"/>
      <c r="N12" s="153"/>
      <c r="O12" s="168"/>
      <c r="P12" s="166">
        <f>+肥料算出基礎!H3</f>
        <v>10000</v>
      </c>
      <c r="Q12" s="753"/>
      <c r="R12" s="754"/>
      <c r="S12" s="755"/>
    </row>
    <row r="13" spans="2:19" s="84" customFormat="1" ht="18" customHeight="1">
      <c r="B13" s="770"/>
      <c r="C13" s="773"/>
      <c r="D13" s="778" t="s">
        <v>48</v>
      </c>
      <c r="E13" s="188" t="s">
        <v>144</v>
      </c>
      <c r="F13" s="182">
        <f>+H13*'６　固定資本装備と減価償却費'!L11</f>
        <v>8968</v>
      </c>
      <c r="G13" s="153" t="s">
        <v>148</v>
      </c>
      <c r="H13" s="528">
        <v>0.01</v>
      </c>
      <c r="I13" s="804" t="s">
        <v>150</v>
      </c>
      <c r="J13" s="805"/>
      <c r="K13" s="810"/>
      <c r="L13" s="175" t="s">
        <v>126</v>
      </c>
      <c r="M13" s="176"/>
      <c r="N13" s="153"/>
      <c r="O13" s="168"/>
      <c r="P13" s="166">
        <f>+肥料算出基礎!H10</f>
        <v>1382</v>
      </c>
      <c r="Q13" s="753"/>
      <c r="R13" s="754"/>
      <c r="S13" s="755"/>
    </row>
    <row r="14" spans="2:19" s="84" customFormat="1" ht="18" customHeight="1">
      <c r="B14" s="770"/>
      <c r="C14" s="773"/>
      <c r="D14" s="779"/>
      <c r="E14" s="188" t="s">
        <v>145</v>
      </c>
      <c r="F14" s="182">
        <f>+H14*'６　固定資本装備と減価償却費'!L24</f>
        <v>16952.900000000001</v>
      </c>
      <c r="G14" s="153" t="s">
        <v>148</v>
      </c>
      <c r="H14" s="528">
        <v>0.05</v>
      </c>
      <c r="I14" s="804" t="s">
        <v>150</v>
      </c>
      <c r="J14" s="805"/>
      <c r="K14" s="810"/>
      <c r="L14" s="153" t="s">
        <v>127</v>
      </c>
      <c r="M14" s="164"/>
      <c r="N14" s="153"/>
      <c r="O14" s="168"/>
      <c r="P14" s="166">
        <f>+肥料算出基礎!H12-肥料算出基礎!H10-肥料算出基礎!H3</f>
        <v>27370</v>
      </c>
      <c r="Q14" s="753"/>
      <c r="R14" s="754"/>
      <c r="S14" s="755"/>
    </row>
    <row r="15" spans="2:19" s="84" customFormat="1" ht="18" customHeight="1">
      <c r="B15" s="770"/>
      <c r="C15" s="773"/>
      <c r="D15" s="778" t="s">
        <v>72</v>
      </c>
      <c r="E15" s="188" t="s">
        <v>144</v>
      </c>
      <c r="F15" s="182">
        <f>'６　固定資本装備と減価償却費'!P11</f>
        <v>82779.047619047618</v>
      </c>
      <c r="G15" s="153" t="s">
        <v>150</v>
      </c>
      <c r="H15" s="159"/>
      <c r="I15" s="159"/>
      <c r="J15" s="160"/>
      <c r="K15" s="810"/>
      <c r="L15" s="153" t="s">
        <v>129</v>
      </c>
      <c r="M15" s="164"/>
      <c r="N15" s="153"/>
      <c r="O15" s="168"/>
      <c r="P15" s="166"/>
      <c r="Q15" s="753"/>
      <c r="R15" s="754"/>
      <c r="S15" s="755"/>
    </row>
    <row r="16" spans="2:19" s="84" customFormat="1" ht="18" customHeight="1">
      <c r="B16" s="770"/>
      <c r="C16" s="773"/>
      <c r="D16" s="780"/>
      <c r="E16" s="188" t="s">
        <v>145</v>
      </c>
      <c r="F16" s="182">
        <f>'６　固定資本装備と減価償却費'!P24</f>
        <v>53209.000000000007</v>
      </c>
      <c r="G16" s="153" t="s">
        <v>150</v>
      </c>
      <c r="H16" s="159"/>
      <c r="I16" s="159"/>
      <c r="J16" s="160"/>
      <c r="K16" s="810"/>
      <c r="L16" s="153" t="s">
        <v>130</v>
      </c>
      <c r="M16" s="164"/>
      <c r="N16" s="153"/>
      <c r="O16" s="166"/>
      <c r="P16" s="166"/>
      <c r="Q16" s="753"/>
      <c r="R16" s="754"/>
      <c r="S16" s="755"/>
    </row>
    <row r="17" spans="1:19" s="84" customFormat="1" ht="18" customHeight="1" thickBot="1">
      <c r="B17" s="770"/>
      <c r="C17" s="773"/>
      <c r="D17" s="779"/>
      <c r="E17" s="182" t="s">
        <v>49</v>
      </c>
      <c r="F17" s="182">
        <f>'６　固定資本装備と減価償却費'!P25</f>
        <v>7307.6923076923076</v>
      </c>
      <c r="G17" s="153" t="s">
        <v>150</v>
      </c>
      <c r="H17" s="159"/>
      <c r="I17" s="159"/>
      <c r="J17" s="160"/>
      <c r="K17" s="810"/>
      <c r="L17" s="97" t="s">
        <v>26</v>
      </c>
      <c r="M17" s="96"/>
      <c r="N17" s="97"/>
      <c r="O17" s="97"/>
      <c r="P17" s="97">
        <f>SUM(P12:P16)</f>
        <v>38752</v>
      </c>
      <c r="Q17" s="759"/>
      <c r="R17" s="760"/>
      <c r="S17" s="761"/>
    </row>
    <row r="18" spans="1:19" s="84" customFormat="1" ht="18" customHeight="1" thickTop="1">
      <c r="A18" s="83"/>
      <c r="B18" s="770"/>
      <c r="C18" s="773"/>
      <c r="D18" s="182" t="s">
        <v>50</v>
      </c>
      <c r="E18" s="185"/>
      <c r="F18" s="182"/>
      <c r="G18" s="153"/>
      <c r="H18" s="159"/>
      <c r="I18" s="511"/>
      <c r="J18" s="160"/>
      <c r="K18" s="810"/>
      <c r="L18" s="153" t="s">
        <v>123</v>
      </c>
      <c r="M18" s="164"/>
      <c r="N18" s="165" t="s">
        <v>23</v>
      </c>
      <c r="O18" s="165" t="s">
        <v>21</v>
      </c>
      <c r="P18" s="165" t="s">
        <v>24</v>
      </c>
      <c r="Q18" s="806" t="s">
        <v>25</v>
      </c>
      <c r="R18" s="807"/>
      <c r="S18" s="808"/>
    </row>
    <row r="19" spans="1:19" s="84" customFormat="1" ht="18" customHeight="1">
      <c r="A19" s="83"/>
      <c r="B19" s="770"/>
      <c r="C19" s="773"/>
      <c r="D19" s="182" t="s">
        <v>125</v>
      </c>
      <c r="E19" s="185"/>
      <c r="F19" s="182">
        <f>SUM(F6:F18)/99</f>
        <v>3174.7198982498981</v>
      </c>
      <c r="G19" s="189" t="s">
        <v>161</v>
      </c>
      <c r="H19" s="199">
        <v>0.01</v>
      </c>
      <c r="I19" s="98"/>
      <c r="J19" s="4"/>
      <c r="K19" s="810"/>
      <c r="L19" s="166" t="s">
        <v>27</v>
      </c>
      <c r="M19" s="164"/>
      <c r="N19" s="153" t="s">
        <v>457</v>
      </c>
      <c r="O19" s="166"/>
      <c r="P19" s="166">
        <f>+'８　算出基礎'!G46</f>
        <v>32200.066666666666</v>
      </c>
      <c r="Q19" s="753"/>
      <c r="R19" s="754"/>
      <c r="S19" s="755"/>
    </row>
    <row r="20" spans="1:19" s="84" customFormat="1" ht="18" customHeight="1">
      <c r="A20" s="83"/>
      <c r="B20" s="770"/>
      <c r="C20" s="774"/>
      <c r="D20" s="767" t="s">
        <v>154</v>
      </c>
      <c r="E20" s="768"/>
      <c r="F20" s="114">
        <f>SUM(F6:F19)</f>
        <v>317471.98982498981</v>
      </c>
      <c r="G20" s="161"/>
      <c r="H20" s="98"/>
      <c r="I20" s="98"/>
      <c r="J20" s="101"/>
      <c r="K20" s="810"/>
      <c r="L20" s="166" t="s">
        <v>28</v>
      </c>
      <c r="M20" s="164"/>
      <c r="N20" s="153" t="s">
        <v>567</v>
      </c>
      <c r="O20" s="166"/>
      <c r="P20" s="166">
        <f>'８　算出基礎'!G60</f>
        <v>20797.783333333333</v>
      </c>
      <c r="Q20" s="753"/>
      <c r="R20" s="754"/>
      <c r="S20" s="755"/>
    </row>
    <row r="21" spans="1:19" s="84" customFormat="1" ht="18" customHeight="1">
      <c r="A21" s="83"/>
      <c r="B21" s="770"/>
      <c r="C21" s="775" t="s">
        <v>149</v>
      </c>
      <c r="D21" s="781" t="s">
        <v>51</v>
      </c>
      <c r="E21" s="14" t="s">
        <v>1</v>
      </c>
      <c r="F21" s="89">
        <f>+L5*24.47</f>
        <v>78304</v>
      </c>
      <c r="G21" s="381" t="s">
        <v>580</v>
      </c>
      <c r="H21" s="164"/>
      <c r="I21" s="94"/>
      <c r="J21" s="187"/>
      <c r="K21" s="810"/>
      <c r="L21" s="166" t="s">
        <v>29</v>
      </c>
      <c r="M21" s="164"/>
      <c r="N21" s="153" t="s">
        <v>571</v>
      </c>
      <c r="O21" s="166"/>
      <c r="P21" s="166">
        <f>'８　算出基礎'!G64</f>
        <v>5861</v>
      </c>
      <c r="Q21" s="753"/>
      <c r="R21" s="754"/>
      <c r="S21" s="755"/>
    </row>
    <row r="22" spans="1:19" s="84" customFormat="1" ht="18" customHeight="1">
      <c r="A22" s="83"/>
      <c r="B22" s="770"/>
      <c r="C22" s="776"/>
      <c r="D22" s="726"/>
      <c r="E22" s="14" t="s">
        <v>2</v>
      </c>
      <c r="F22" s="115">
        <f>+L5*2/3*7.7</f>
        <v>16426.666666666668</v>
      </c>
      <c r="G22" s="381" t="s">
        <v>581</v>
      </c>
      <c r="H22" s="190"/>
      <c r="I22" s="190"/>
      <c r="J22" s="191"/>
      <c r="K22" s="810"/>
      <c r="L22" s="166"/>
      <c r="M22" s="164"/>
      <c r="N22" s="153"/>
      <c r="O22" s="166"/>
      <c r="P22" s="166"/>
      <c r="Q22" s="753"/>
      <c r="R22" s="754"/>
      <c r="S22" s="755"/>
    </row>
    <row r="23" spans="1:19" s="84" customFormat="1" ht="18" customHeight="1" thickBot="1">
      <c r="A23" s="83"/>
      <c r="B23" s="770"/>
      <c r="C23" s="776"/>
      <c r="D23" s="724"/>
      <c r="E23" s="14" t="s">
        <v>6</v>
      </c>
      <c r="F23" s="89">
        <f>+L5*2/3*単価基礎!R12*0.11</f>
        <v>78207.238737538282</v>
      </c>
      <c r="G23" s="381" t="s">
        <v>460</v>
      </c>
      <c r="H23" s="99"/>
      <c r="I23" s="190"/>
      <c r="J23" s="186"/>
      <c r="K23" s="810"/>
      <c r="L23" s="97" t="s">
        <v>26</v>
      </c>
      <c r="M23" s="96"/>
      <c r="N23" s="97"/>
      <c r="O23" s="97"/>
      <c r="P23" s="97">
        <f>SUM(P19:P22)</f>
        <v>58858.85</v>
      </c>
      <c r="Q23" s="759"/>
      <c r="R23" s="760"/>
      <c r="S23" s="761"/>
    </row>
    <row r="24" spans="1:19" s="84" customFormat="1" ht="18" customHeight="1" thickTop="1">
      <c r="A24" s="83"/>
      <c r="B24" s="770"/>
      <c r="C24" s="776"/>
      <c r="D24" s="14" t="s">
        <v>210</v>
      </c>
      <c r="E24" s="19"/>
      <c r="F24" s="115"/>
      <c r="G24" s="175"/>
      <c r="H24" s="193"/>
      <c r="I24" s="194"/>
      <c r="J24" s="192"/>
      <c r="K24" s="810"/>
      <c r="L24" s="153" t="s">
        <v>124</v>
      </c>
      <c r="M24" s="164"/>
      <c r="N24" s="165" t="s">
        <v>23</v>
      </c>
      <c r="O24" s="165" t="s">
        <v>21</v>
      </c>
      <c r="P24" s="165" t="s">
        <v>24</v>
      </c>
      <c r="Q24" s="806" t="s">
        <v>25</v>
      </c>
      <c r="R24" s="807"/>
      <c r="S24" s="808"/>
    </row>
    <row r="25" spans="1:19" s="84" customFormat="1" ht="18" customHeight="1">
      <c r="A25" s="83"/>
      <c r="B25" s="770"/>
      <c r="C25" s="776"/>
      <c r="D25" s="14" t="s">
        <v>73</v>
      </c>
      <c r="E25" s="19"/>
      <c r="F25" s="115"/>
      <c r="G25" s="175"/>
      <c r="H25" s="195"/>
      <c r="I25" s="196"/>
      <c r="J25" s="197"/>
      <c r="K25" s="810"/>
      <c r="L25" s="166" t="s">
        <v>114</v>
      </c>
      <c r="M25" s="167"/>
      <c r="N25" s="153" t="s">
        <v>573</v>
      </c>
      <c r="O25" s="168"/>
      <c r="P25" s="166">
        <f>'８　算出基礎'!N10</f>
        <v>8557.4</v>
      </c>
      <c r="Q25" s="762"/>
      <c r="R25" s="763"/>
      <c r="S25" s="764"/>
    </row>
    <row r="26" spans="1:19" s="84" customFormat="1" ht="18" customHeight="1">
      <c r="A26" s="83"/>
      <c r="B26" s="770"/>
      <c r="C26" s="776"/>
      <c r="D26" s="14" t="s">
        <v>96</v>
      </c>
      <c r="E26" s="15"/>
      <c r="F26" s="115">
        <f>'８　算出基礎'!V57</f>
        <v>8177.9750000000004</v>
      </c>
      <c r="G26" s="799"/>
      <c r="H26" s="800"/>
      <c r="I26" s="800"/>
      <c r="J26" s="793"/>
      <c r="K26" s="810"/>
      <c r="L26" s="166" t="s">
        <v>115</v>
      </c>
      <c r="M26" s="167"/>
      <c r="N26" s="153" t="s">
        <v>568</v>
      </c>
      <c r="O26" s="168"/>
      <c r="P26" s="166">
        <f>'８　算出基礎'!N15</f>
        <v>1267.2</v>
      </c>
      <c r="Q26" s="762"/>
      <c r="R26" s="763"/>
      <c r="S26" s="764"/>
    </row>
    <row r="27" spans="1:19" s="84" customFormat="1" ht="18" customHeight="1">
      <c r="A27" s="83"/>
      <c r="B27" s="770"/>
      <c r="C27" s="776"/>
      <c r="D27" s="20" t="s">
        <v>74</v>
      </c>
      <c r="E27" s="21"/>
      <c r="F27" s="198">
        <f>200000/14</f>
        <v>14285.714285714286</v>
      </c>
      <c r="G27" s="153" t="s">
        <v>531</v>
      </c>
      <c r="H27" s="195"/>
      <c r="I27" s="196"/>
      <c r="J27" s="192"/>
      <c r="K27" s="810"/>
      <c r="L27" s="166" t="s">
        <v>117</v>
      </c>
      <c r="M27" s="164"/>
      <c r="N27" s="168"/>
      <c r="O27" s="168"/>
      <c r="P27" s="166">
        <f>SUM(P25:P26)*R27</f>
        <v>2947.38</v>
      </c>
      <c r="Q27" s="169" t="s">
        <v>116</v>
      </c>
      <c r="R27" s="170">
        <v>0.3</v>
      </c>
      <c r="S27" s="100"/>
    </row>
    <row r="28" spans="1:19" s="84" customFormat="1" ht="18" customHeight="1">
      <c r="A28" s="83"/>
      <c r="B28" s="770"/>
      <c r="C28" s="776"/>
      <c r="D28" s="14" t="s">
        <v>52</v>
      </c>
      <c r="E28" s="15"/>
      <c r="F28" s="115">
        <f>'８　算出基礎'!N57</f>
        <v>4128.2</v>
      </c>
      <c r="G28" s="799"/>
      <c r="H28" s="800"/>
      <c r="I28" s="800"/>
      <c r="J28" s="793"/>
      <c r="K28" s="810"/>
      <c r="L28" s="166" t="s">
        <v>118</v>
      </c>
      <c r="M28" s="167"/>
      <c r="N28" s="153"/>
      <c r="O28" s="168"/>
      <c r="P28" s="166"/>
      <c r="Q28" s="753"/>
      <c r="R28" s="754"/>
      <c r="S28" s="755"/>
    </row>
    <row r="29" spans="1:19" s="84" customFormat="1" ht="18" customHeight="1">
      <c r="A29" s="83"/>
      <c r="B29" s="770"/>
      <c r="C29" s="776"/>
      <c r="D29" s="14" t="s">
        <v>211</v>
      </c>
      <c r="E29" s="19"/>
      <c r="F29" s="115">
        <f>SUM(F21:F28)/99</f>
        <v>2015.4524716153462</v>
      </c>
      <c r="G29" s="529" t="s">
        <v>578</v>
      </c>
      <c r="H29" s="199">
        <v>0.01</v>
      </c>
      <c r="I29" s="163"/>
      <c r="J29" s="162"/>
      <c r="K29" s="810"/>
      <c r="L29" s="166" t="s">
        <v>119</v>
      </c>
      <c r="M29" s="167"/>
      <c r="N29" s="153"/>
      <c r="O29" s="168"/>
      <c r="P29" s="166"/>
      <c r="Q29" s="753"/>
      <c r="R29" s="754"/>
      <c r="S29" s="755"/>
    </row>
    <row r="30" spans="1:19" s="84" customFormat="1" ht="18" customHeight="1" thickBot="1">
      <c r="A30" s="83"/>
      <c r="B30" s="771"/>
      <c r="C30" s="777"/>
      <c r="D30" s="765" t="s">
        <v>153</v>
      </c>
      <c r="E30" s="766"/>
      <c r="F30" s="154">
        <f>SUM(F21:F29)</f>
        <v>201545.24716153461</v>
      </c>
      <c r="G30" s="155"/>
      <c r="H30" s="156"/>
      <c r="I30" s="157"/>
      <c r="J30" s="158"/>
      <c r="K30" s="810"/>
      <c r="L30" s="166" t="s">
        <v>208</v>
      </c>
      <c r="M30" s="167"/>
      <c r="N30" s="153"/>
      <c r="O30" s="168"/>
      <c r="P30" s="166"/>
      <c r="Q30" s="271"/>
      <c r="R30" s="272"/>
      <c r="S30" s="273"/>
    </row>
    <row r="31" spans="1:19" s="84" customFormat="1" ht="18" customHeight="1">
      <c r="A31" s="83"/>
      <c r="B31" s="104"/>
      <c r="C31" s="103"/>
      <c r="D31" s="103"/>
      <c r="E31" s="103"/>
      <c r="F31" s="103"/>
      <c r="G31" s="103"/>
      <c r="H31" s="103"/>
      <c r="I31" s="103"/>
      <c r="J31" s="103"/>
      <c r="K31" s="810"/>
      <c r="L31" s="166" t="s">
        <v>120</v>
      </c>
      <c r="M31" s="164"/>
      <c r="N31" s="153" t="s">
        <v>569</v>
      </c>
      <c r="O31" s="168"/>
      <c r="P31" s="166">
        <f>'８　算出基礎'!N31</f>
        <v>3628.8</v>
      </c>
      <c r="Q31" s="753"/>
      <c r="R31" s="754"/>
      <c r="S31" s="755"/>
    </row>
    <row r="32" spans="1:19" s="84" customFormat="1" ht="18" customHeight="1" thickBot="1">
      <c r="A32" s="83"/>
      <c r="B32" s="95"/>
      <c r="C32" s="110"/>
      <c r="D32" s="95"/>
      <c r="E32" s="95"/>
      <c r="F32" s="108"/>
      <c r="G32" s="108"/>
      <c r="H32" s="109"/>
      <c r="I32" s="103"/>
      <c r="J32" s="103"/>
      <c r="K32" s="811"/>
      <c r="L32" s="106" t="s">
        <v>26</v>
      </c>
      <c r="M32" s="105"/>
      <c r="N32" s="106"/>
      <c r="O32" s="106"/>
      <c r="P32" s="106">
        <f>SUM(P25:P31)</f>
        <v>16400.78</v>
      </c>
      <c r="Q32" s="756"/>
      <c r="R32" s="757"/>
      <c r="S32" s="758"/>
    </row>
    <row r="33" spans="1:23" ht="18" customHeight="1">
      <c r="K33" s="102"/>
      <c r="L33" s="102"/>
      <c r="M33" s="102"/>
      <c r="N33" s="102"/>
      <c r="O33" s="102"/>
      <c r="P33" s="102"/>
      <c r="Q33" s="102"/>
      <c r="R33" s="102"/>
      <c r="S33" s="102"/>
    </row>
    <row r="34" spans="1:23" ht="18" customHeight="1">
      <c r="K34" s="102"/>
      <c r="L34" s="102"/>
      <c r="M34" s="102"/>
      <c r="N34" s="102"/>
      <c r="O34" s="102"/>
      <c r="P34" s="102"/>
      <c r="Q34" s="102"/>
      <c r="R34" s="102"/>
      <c r="S34" s="102"/>
    </row>
    <row r="35" spans="1:23" ht="18" customHeight="1"/>
    <row r="36" spans="1:23" ht="18" customHeight="1">
      <c r="K36" s="84"/>
      <c r="L36" s="84"/>
      <c r="M36" s="84"/>
      <c r="N36" s="84"/>
      <c r="O36" s="84"/>
      <c r="P36" s="84"/>
      <c r="Q36" s="84"/>
      <c r="R36" s="84"/>
      <c r="S36" s="84"/>
    </row>
    <row r="37" spans="1:23" ht="18" customHeight="1">
      <c r="K37" s="84"/>
      <c r="L37" s="84"/>
      <c r="M37" s="84"/>
      <c r="N37" s="84"/>
      <c r="O37" s="84"/>
      <c r="P37" s="84"/>
      <c r="Q37" s="84"/>
      <c r="R37" s="84"/>
      <c r="S37" s="84"/>
    </row>
    <row r="38" spans="1:23" s="102" customFormat="1" ht="18" customHeight="1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4"/>
      <c r="L38" s="84"/>
      <c r="M38" s="84"/>
      <c r="N38" s="84"/>
      <c r="O38" s="84"/>
      <c r="P38" s="84"/>
      <c r="Q38" s="84"/>
      <c r="R38" s="84"/>
      <c r="S38" s="84"/>
    </row>
    <row r="39" spans="1:23" s="102" customFormat="1" ht="18" customHeight="1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4"/>
      <c r="L39" s="84"/>
      <c r="M39" s="84"/>
      <c r="N39" s="84"/>
      <c r="O39" s="84"/>
      <c r="P39" s="84"/>
      <c r="Q39" s="84"/>
      <c r="R39" s="84"/>
      <c r="S39" s="84"/>
      <c r="T39" s="103"/>
    </row>
    <row r="40" spans="1:23" s="102" customFormat="1" ht="18" customHeight="1">
      <c r="A40" s="84"/>
      <c r="B40" s="83"/>
      <c r="C40" s="83"/>
      <c r="D40" s="83"/>
      <c r="E40" s="83"/>
      <c r="F40" s="83"/>
      <c r="G40" s="83"/>
      <c r="H40" s="83"/>
      <c r="I40" s="83"/>
      <c r="J40" s="83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</row>
    <row r="41" spans="1:23" s="84" customFormat="1" ht="24.95" customHeight="1"/>
    <row r="42" spans="1:23" s="84" customFormat="1" ht="18" customHeight="1"/>
    <row r="43" spans="1:23" s="84" customFormat="1" ht="18" customHeight="1"/>
    <row r="44" spans="1:23" s="84" customFormat="1" ht="18" customHeight="1"/>
    <row r="45" spans="1:23" s="84" customFormat="1" ht="18" customHeight="1"/>
    <row r="46" spans="1:23" s="84" customFormat="1" ht="18" customHeight="1"/>
    <row r="47" spans="1:23" s="84" customFormat="1" ht="18" customHeight="1"/>
    <row r="48" spans="1:23" s="84" customFormat="1" ht="18" customHeight="1"/>
    <row r="49" s="84" customFormat="1" ht="18" customHeight="1"/>
    <row r="50" s="84" customFormat="1" ht="18" customHeight="1"/>
    <row r="51" s="84" customFormat="1" ht="18" customHeight="1"/>
    <row r="52" s="84" customFormat="1" ht="18" customHeight="1"/>
    <row r="53" s="84" customFormat="1" ht="18" customHeight="1"/>
    <row r="54" s="84" customFormat="1" ht="18" customHeight="1"/>
    <row r="55" s="84" customFormat="1" ht="18" customHeight="1"/>
    <row r="56" s="84" customFormat="1" ht="18" customHeight="1"/>
    <row r="57" s="84" customFormat="1" ht="18" customHeight="1"/>
    <row r="58" s="84" customFormat="1" ht="18" customHeight="1"/>
    <row r="59" s="84" customFormat="1" ht="18" customHeight="1"/>
    <row r="60" s="84" customFormat="1" ht="18" customHeight="1"/>
    <row r="61" s="84" customFormat="1" ht="18" customHeight="1"/>
    <row r="62" s="84" customFormat="1" ht="18" customHeight="1"/>
    <row r="63" s="84" customFormat="1" ht="18" customHeight="1"/>
    <row r="64" s="84" customFormat="1" ht="18" customHeight="1"/>
    <row r="65" spans="2:19" s="84" customFormat="1" ht="18" customHeight="1"/>
    <row r="66" spans="2:19" s="84" customFormat="1" ht="18" customHeight="1"/>
    <row r="67" spans="2:19" s="84" customFormat="1" ht="18" customHeight="1">
      <c r="K67" s="83"/>
      <c r="L67" s="83"/>
      <c r="M67" s="83"/>
      <c r="N67" s="83"/>
      <c r="O67" s="83"/>
      <c r="P67" s="83"/>
      <c r="Q67" s="83"/>
      <c r="R67" s="83"/>
      <c r="S67" s="83"/>
    </row>
    <row r="68" spans="2:19" s="84" customFormat="1" ht="18" customHeight="1">
      <c r="K68" s="83"/>
      <c r="L68" s="83"/>
      <c r="M68" s="83"/>
      <c r="N68" s="83"/>
      <c r="O68" s="83"/>
      <c r="P68" s="83"/>
      <c r="Q68" s="83"/>
      <c r="R68" s="83"/>
      <c r="S68" s="83"/>
    </row>
    <row r="69" spans="2:19" s="84" customFormat="1" ht="18" customHeight="1">
      <c r="K69" s="83"/>
      <c r="L69" s="83"/>
      <c r="M69" s="83"/>
      <c r="N69" s="83"/>
      <c r="O69" s="83"/>
      <c r="P69" s="83"/>
      <c r="Q69" s="83"/>
      <c r="R69" s="83"/>
      <c r="S69" s="83"/>
    </row>
    <row r="70" spans="2:19" s="84" customFormat="1" ht="18" customHeight="1">
      <c r="K70" s="83"/>
      <c r="L70" s="83"/>
      <c r="M70" s="83"/>
      <c r="N70" s="83"/>
      <c r="O70" s="83"/>
      <c r="P70" s="83"/>
      <c r="Q70" s="83"/>
      <c r="R70" s="83"/>
      <c r="S70" s="83"/>
    </row>
    <row r="71" spans="2:19" s="84" customFormat="1" ht="18" customHeight="1">
      <c r="K71" s="83"/>
      <c r="L71" s="83"/>
      <c r="M71" s="83"/>
      <c r="N71" s="83"/>
      <c r="O71" s="83"/>
      <c r="P71" s="83"/>
      <c r="Q71" s="83"/>
      <c r="R71" s="83"/>
      <c r="S71" s="83"/>
    </row>
    <row r="72" spans="2:19" ht="18" customHeight="1"/>
    <row r="73" spans="2:19" ht="18" customHeight="1"/>
    <row r="74" spans="2:19" ht="18" customHeight="1"/>
    <row r="75" spans="2:19" ht="18" customHeight="1">
      <c r="K75" s="84"/>
      <c r="L75" s="84"/>
      <c r="M75" s="84"/>
      <c r="N75" s="84"/>
      <c r="O75" s="84"/>
      <c r="P75" s="84"/>
      <c r="Q75" s="84"/>
      <c r="R75" s="84"/>
      <c r="S75" s="84"/>
    </row>
    <row r="76" spans="2:19" ht="18" customHeight="1">
      <c r="K76" s="84"/>
      <c r="L76" s="84"/>
      <c r="M76" s="84"/>
      <c r="N76" s="84"/>
      <c r="O76" s="84"/>
      <c r="P76" s="84"/>
      <c r="Q76" s="84"/>
      <c r="R76" s="84"/>
      <c r="S76" s="84"/>
    </row>
    <row r="77" spans="2:19" s="102" customFormat="1">
      <c r="B77" s="83"/>
      <c r="C77" s="83"/>
      <c r="D77" s="83"/>
      <c r="E77" s="83"/>
      <c r="F77" s="83"/>
      <c r="G77" s="83"/>
      <c r="H77" s="83"/>
      <c r="I77" s="83"/>
      <c r="J77" s="83"/>
      <c r="K77" s="84"/>
      <c r="L77" s="84"/>
      <c r="M77" s="84"/>
      <c r="N77" s="84"/>
      <c r="O77" s="84"/>
      <c r="P77" s="84"/>
      <c r="Q77" s="84"/>
      <c r="R77" s="84"/>
      <c r="S77" s="84"/>
    </row>
    <row r="78" spans="2:19" s="102" customFormat="1">
      <c r="B78" s="83"/>
      <c r="C78" s="83"/>
      <c r="D78" s="83"/>
      <c r="E78" s="83"/>
      <c r="F78" s="83"/>
      <c r="G78" s="83"/>
      <c r="H78" s="83"/>
      <c r="I78" s="83"/>
      <c r="J78" s="83"/>
      <c r="K78" s="84"/>
      <c r="L78" s="84"/>
      <c r="M78" s="84"/>
      <c r="N78" s="84"/>
      <c r="O78" s="84"/>
      <c r="P78" s="84"/>
      <c r="Q78" s="84"/>
      <c r="R78" s="84"/>
      <c r="S78" s="84"/>
    </row>
    <row r="79" spans="2:19" s="102" customFormat="1">
      <c r="B79" s="83"/>
      <c r="C79" s="83"/>
      <c r="D79" s="83"/>
      <c r="E79" s="83"/>
      <c r="F79" s="83"/>
      <c r="G79" s="83"/>
      <c r="H79" s="83"/>
      <c r="I79" s="83"/>
      <c r="J79" s="83"/>
      <c r="K79" s="84"/>
      <c r="L79" s="84"/>
      <c r="M79" s="84"/>
      <c r="N79" s="84"/>
      <c r="O79" s="84"/>
      <c r="P79" s="84"/>
      <c r="Q79" s="84"/>
      <c r="R79" s="84"/>
      <c r="S79" s="84"/>
    </row>
    <row r="80" spans="2:19" s="84" customFormat="1" ht="24.95" customHeight="1"/>
    <row r="81" s="84" customFormat="1" ht="18" customHeight="1"/>
    <row r="82" s="84" customFormat="1" ht="18" customHeight="1"/>
    <row r="83" s="84" customFormat="1" ht="18" customHeight="1"/>
    <row r="84" s="84" customFormat="1" ht="18" customHeight="1"/>
    <row r="85" s="84" customFormat="1" ht="18" customHeight="1"/>
    <row r="86" s="84" customFormat="1" ht="18" customHeight="1"/>
    <row r="87" s="84" customFormat="1" ht="18" customHeight="1"/>
    <row r="88" s="84" customFormat="1" ht="18" customHeight="1"/>
    <row r="89" s="84" customFormat="1" ht="18" customHeight="1"/>
    <row r="90" s="84" customFormat="1" ht="18" customHeight="1"/>
    <row r="91" s="84" customFormat="1" ht="18" customHeight="1"/>
    <row r="92" s="84" customFormat="1" ht="18" customHeight="1"/>
    <row r="93" s="84" customFormat="1" ht="18" customHeight="1"/>
    <row r="94" s="84" customFormat="1" ht="18" customHeight="1"/>
    <row r="95" s="84" customFormat="1" ht="18" customHeight="1"/>
    <row r="96" s="84" customFormat="1" ht="18" customHeight="1"/>
    <row r="97" spans="11:19" s="84" customFormat="1" ht="18" customHeight="1"/>
    <row r="98" spans="11:19" s="84" customFormat="1" ht="18" customHeight="1"/>
    <row r="99" spans="11:19" s="84" customFormat="1" ht="18" customHeight="1"/>
    <row r="100" spans="11:19" s="84" customFormat="1" ht="18" customHeight="1"/>
    <row r="101" spans="11:19" s="84" customFormat="1" ht="18" customHeight="1"/>
    <row r="102" spans="11:19" s="84" customFormat="1" ht="18" customHeight="1"/>
    <row r="103" spans="11:19" s="84" customFormat="1" ht="18" customHeight="1"/>
    <row r="104" spans="11:19" s="84" customFormat="1" ht="18" customHeight="1"/>
    <row r="105" spans="11:19" s="84" customFormat="1" ht="18" customHeight="1"/>
    <row r="106" spans="11:19" s="84" customFormat="1" ht="18" customHeight="1">
      <c r="K106" s="83"/>
      <c r="L106" s="83"/>
      <c r="M106" s="83"/>
      <c r="N106" s="83"/>
      <c r="O106" s="83"/>
      <c r="P106" s="83"/>
      <c r="Q106" s="83"/>
      <c r="R106" s="83"/>
      <c r="S106" s="83"/>
    </row>
    <row r="107" spans="11:19" s="84" customFormat="1" ht="18" customHeight="1">
      <c r="K107" s="83"/>
      <c r="L107" s="83"/>
      <c r="M107" s="83"/>
      <c r="N107" s="83"/>
      <c r="O107" s="83"/>
      <c r="P107" s="83"/>
      <c r="Q107" s="83"/>
      <c r="R107" s="83"/>
      <c r="S107" s="83"/>
    </row>
    <row r="108" spans="11:19" s="84" customFormat="1" ht="18" customHeight="1">
      <c r="K108" s="83"/>
      <c r="L108" s="83"/>
      <c r="M108" s="83"/>
      <c r="N108" s="83"/>
      <c r="O108" s="83"/>
      <c r="P108" s="83"/>
      <c r="Q108" s="83"/>
      <c r="R108" s="83"/>
      <c r="S108" s="83"/>
    </row>
    <row r="109" spans="11:19" s="84" customFormat="1" ht="18" customHeight="1">
      <c r="K109" s="83"/>
      <c r="L109" s="83"/>
      <c r="M109" s="83"/>
      <c r="N109" s="83"/>
      <c r="O109" s="83"/>
      <c r="P109" s="83"/>
      <c r="Q109" s="83"/>
      <c r="R109" s="83"/>
      <c r="S109" s="83"/>
    </row>
    <row r="110" spans="11:19" s="84" customFormat="1" ht="18" customHeight="1">
      <c r="K110" s="83"/>
      <c r="L110" s="83"/>
      <c r="M110" s="83"/>
      <c r="N110" s="83"/>
      <c r="O110" s="83"/>
      <c r="P110" s="83"/>
      <c r="Q110" s="83"/>
      <c r="R110" s="83"/>
      <c r="S110" s="83"/>
    </row>
    <row r="111" spans="11:19" ht="18" customHeight="1"/>
    <row r="112" spans="11:19" ht="18" customHeight="1"/>
    <row r="113" spans="11:19" ht="18" customHeight="1"/>
    <row r="114" spans="11:19" ht="18" customHeight="1">
      <c r="K114" s="84"/>
      <c r="L114" s="84"/>
      <c r="M114" s="84"/>
      <c r="N114" s="84"/>
      <c r="O114" s="84"/>
      <c r="P114" s="84"/>
      <c r="Q114" s="84"/>
      <c r="R114" s="84"/>
      <c r="S114" s="84"/>
    </row>
    <row r="115" spans="11:19" ht="18" customHeight="1">
      <c r="K115" s="84"/>
      <c r="L115" s="84"/>
      <c r="M115" s="84"/>
      <c r="N115" s="84"/>
      <c r="O115" s="84"/>
      <c r="P115" s="84"/>
      <c r="Q115" s="84"/>
      <c r="R115" s="84"/>
      <c r="S115" s="84"/>
    </row>
    <row r="116" spans="11:19">
      <c r="K116" s="84"/>
      <c r="L116" s="84"/>
      <c r="M116" s="84"/>
      <c r="N116" s="84"/>
      <c r="O116" s="84"/>
      <c r="P116" s="84"/>
      <c r="Q116" s="84"/>
      <c r="R116" s="84"/>
      <c r="S116" s="84"/>
    </row>
    <row r="117" spans="11:19">
      <c r="K117" s="84"/>
      <c r="L117" s="84"/>
      <c r="M117" s="84"/>
      <c r="N117" s="84"/>
      <c r="O117" s="84"/>
      <c r="P117" s="84"/>
      <c r="Q117" s="84"/>
      <c r="R117" s="84"/>
      <c r="S117" s="84"/>
    </row>
    <row r="118" spans="11:19">
      <c r="K118" s="84"/>
      <c r="L118" s="84"/>
      <c r="M118" s="84"/>
      <c r="N118" s="84"/>
      <c r="O118" s="84"/>
      <c r="P118" s="84"/>
      <c r="Q118" s="84"/>
      <c r="R118" s="84"/>
      <c r="S118" s="84"/>
    </row>
    <row r="119" spans="11:19" s="84" customFormat="1" ht="24.95" customHeight="1"/>
    <row r="120" spans="11:19" s="84" customFormat="1" ht="18" customHeight="1"/>
    <row r="121" spans="11:19" s="84" customFormat="1" ht="18" customHeight="1"/>
    <row r="122" spans="11:19" s="84" customFormat="1" ht="18" customHeight="1"/>
    <row r="123" spans="11:19" s="84" customFormat="1" ht="18" customHeight="1"/>
    <row r="124" spans="11:19" s="84" customFormat="1" ht="18" customHeight="1"/>
    <row r="125" spans="11:19" s="84" customFormat="1" ht="18" customHeight="1"/>
    <row r="126" spans="11:19" s="84" customFormat="1" ht="18" customHeight="1"/>
    <row r="127" spans="11:19" s="84" customFormat="1" ht="18" customHeight="1"/>
    <row r="128" spans="11:19" s="84" customFormat="1" ht="18" customHeight="1"/>
    <row r="129" s="84" customFormat="1" ht="18" customHeight="1"/>
    <row r="130" s="84" customFormat="1" ht="18" customHeight="1"/>
    <row r="131" s="84" customFormat="1" ht="18" customHeight="1"/>
    <row r="132" s="84" customFormat="1" ht="18" customHeight="1"/>
    <row r="133" s="84" customFormat="1" ht="18" customHeight="1"/>
    <row r="134" s="84" customFormat="1" ht="18" customHeight="1"/>
    <row r="135" s="84" customFormat="1" ht="18" customHeight="1"/>
    <row r="136" s="84" customFormat="1" ht="18" customHeight="1"/>
    <row r="137" s="84" customFormat="1" ht="18" customHeight="1"/>
    <row r="138" s="84" customFormat="1" ht="18" customHeight="1"/>
    <row r="139" s="84" customFormat="1" ht="18" customHeight="1"/>
    <row r="140" s="84" customFormat="1" ht="18" customHeight="1"/>
    <row r="141" s="84" customFormat="1" ht="18" customHeight="1"/>
    <row r="142" s="84" customFormat="1" ht="18" customHeight="1"/>
    <row r="143" s="84" customFormat="1" ht="18" customHeight="1"/>
    <row r="144" s="84" customFormat="1" ht="18" customHeight="1"/>
    <row r="145" spans="11:19" s="84" customFormat="1" ht="18" customHeight="1">
      <c r="K145" s="83"/>
      <c r="L145" s="83"/>
      <c r="M145" s="83"/>
      <c r="N145" s="83"/>
      <c r="O145" s="83"/>
      <c r="P145" s="83"/>
      <c r="Q145" s="83"/>
      <c r="R145" s="83"/>
      <c r="S145" s="83"/>
    </row>
    <row r="146" spans="11:19" s="84" customFormat="1" ht="18" customHeight="1">
      <c r="K146" s="83"/>
      <c r="L146" s="83"/>
      <c r="M146" s="83"/>
      <c r="N146" s="83"/>
      <c r="O146" s="83"/>
      <c r="P146" s="83"/>
      <c r="Q146" s="83"/>
      <c r="R146" s="83"/>
      <c r="S146" s="83"/>
    </row>
    <row r="147" spans="11:19" s="84" customFormat="1" ht="18" customHeight="1">
      <c r="K147" s="83"/>
      <c r="L147" s="83"/>
      <c r="M147" s="83"/>
      <c r="N147" s="83"/>
      <c r="O147" s="83"/>
      <c r="P147" s="83"/>
      <c r="Q147" s="83"/>
      <c r="R147" s="83"/>
      <c r="S147" s="83"/>
    </row>
    <row r="148" spans="11:19" s="84" customFormat="1" ht="18" customHeight="1">
      <c r="K148" s="83"/>
      <c r="L148" s="83"/>
      <c r="M148" s="83"/>
      <c r="N148" s="83"/>
      <c r="O148" s="83"/>
      <c r="P148" s="83"/>
      <c r="Q148" s="83"/>
      <c r="R148" s="83"/>
      <c r="S148" s="83"/>
    </row>
    <row r="149" spans="11:19" s="84" customFormat="1" ht="18" customHeight="1">
      <c r="K149" s="83"/>
      <c r="L149" s="83"/>
      <c r="M149" s="83"/>
      <c r="N149" s="83"/>
      <c r="O149" s="83"/>
      <c r="P149" s="83"/>
      <c r="Q149" s="83"/>
      <c r="R149" s="83"/>
      <c r="S149" s="83"/>
    </row>
    <row r="150" spans="11:19" ht="18" customHeight="1"/>
    <row r="151" spans="11:19" ht="18" customHeight="1"/>
    <row r="152" spans="11:19" ht="18" customHeight="1"/>
    <row r="153" spans="11:19" ht="18" customHeight="1"/>
    <row r="154" spans="11:19" ht="18" customHeight="1"/>
  </sheetData>
  <mergeCells count="45">
    <mergeCell ref="I14:J14"/>
    <mergeCell ref="K7:K32"/>
    <mergeCell ref="G11:J11"/>
    <mergeCell ref="Q29:S29"/>
    <mergeCell ref="G28:J28"/>
    <mergeCell ref="G26:J26"/>
    <mergeCell ref="Q24:S24"/>
    <mergeCell ref="Q31:S31"/>
    <mergeCell ref="Q15:S15"/>
    <mergeCell ref="Q16:S16"/>
    <mergeCell ref="Q21:S21"/>
    <mergeCell ref="Q14:S14"/>
    <mergeCell ref="Q28:S28"/>
    <mergeCell ref="Q25:S25"/>
    <mergeCell ref="Q17:S17"/>
    <mergeCell ref="Q18:S18"/>
    <mergeCell ref="R6:S6"/>
    <mergeCell ref="Q7:S7"/>
    <mergeCell ref="G10:J10"/>
    <mergeCell ref="Q8:S8"/>
    <mergeCell ref="I13:J13"/>
    <mergeCell ref="Q9:S9"/>
    <mergeCell ref="Q10:S10"/>
    <mergeCell ref="Q11:S11"/>
    <mergeCell ref="Q12:S12"/>
    <mergeCell ref="Q13:S13"/>
    <mergeCell ref="B4:C5"/>
    <mergeCell ref="B3:E3"/>
    <mergeCell ref="K3:S3"/>
    <mergeCell ref="R4:S4"/>
    <mergeCell ref="R5:S5"/>
    <mergeCell ref="D30:E30"/>
    <mergeCell ref="D20:E20"/>
    <mergeCell ref="B6:B30"/>
    <mergeCell ref="C6:C20"/>
    <mergeCell ref="C21:C30"/>
    <mergeCell ref="D13:D14"/>
    <mergeCell ref="D15:D17"/>
    <mergeCell ref="D21:D23"/>
    <mergeCell ref="Q19:S19"/>
    <mergeCell ref="Q20:S20"/>
    <mergeCell ref="Q32:S32"/>
    <mergeCell ref="Q22:S22"/>
    <mergeCell ref="Q23:S23"/>
    <mergeCell ref="Q26:S26"/>
  </mergeCells>
  <phoneticPr fontId="4"/>
  <conditionalFormatting sqref="F6">
    <cfRule type="cellIs" dxfId="8" priority="1" operator="equal">
      <formula>0</formula>
    </cfRule>
  </conditionalFormatting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7"/>
  <sheetViews>
    <sheetView zoomScale="75" zoomScaleNormal="75" zoomScaleSheetLayoutView="75" workbookViewId="0"/>
  </sheetViews>
  <sheetFormatPr defaultRowHeight="13.5"/>
  <cols>
    <col min="1" max="1" width="1.875" customWidth="1"/>
    <col min="5" max="6" width="15.625" customWidth="1"/>
    <col min="7" max="7" width="13.875" customWidth="1"/>
    <col min="9" max="10" width="10.375" customWidth="1"/>
  </cols>
  <sheetData>
    <row r="2" spans="1:19" ht="24.95" customHeight="1" thickBot="1">
      <c r="A2" s="84"/>
      <c r="B2" s="1" t="s">
        <v>596</v>
      </c>
      <c r="C2" s="84"/>
      <c r="D2" s="84"/>
      <c r="E2" s="84"/>
      <c r="F2" s="84"/>
      <c r="G2" s="84"/>
      <c r="H2" s="85" t="s">
        <v>188</v>
      </c>
      <c r="I2" s="1" t="s">
        <v>414</v>
      </c>
      <c r="J2" s="84"/>
      <c r="K2" s="85" t="s">
        <v>189</v>
      </c>
      <c r="L2" s="1" t="s">
        <v>294</v>
      </c>
      <c r="M2" s="84"/>
      <c r="N2" s="83"/>
      <c r="O2" s="83"/>
      <c r="P2" s="84"/>
      <c r="Q2" s="2"/>
      <c r="R2" s="2"/>
      <c r="S2" s="84"/>
    </row>
    <row r="3" spans="1:19" ht="18" customHeight="1">
      <c r="A3" s="84"/>
      <c r="B3" s="784" t="s">
        <v>17</v>
      </c>
      <c r="C3" s="785"/>
      <c r="D3" s="785"/>
      <c r="E3" s="786"/>
      <c r="F3" s="396" t="s">
        <v>18</v>
      </c>
      <c r="G3" s="87"/>
      <c r="H3" s="88" t="s">
        <v>19</v>
      </c>
      <c r="I3" s="86"/>
      <c r="J3" s="86"/>
      <c r="K3" s="787" t="s">
        <v>160</v>
      </c>
      <c r="L3" s="788"/>
      <c r="M3" s="788"/>
      <c r="N3" s="788"/>
      <c r="O3" s="788"/>
      <c r="P3" s="788"/>
      <c r="Q3" s="788"/>
      <c r="R3" s="788"/>
      <c r="S3" s="789"/>
    </row>
    <row r="4" spans="1:19" ht="18" customHeight="1">
      <c r="A4" s="84"/>
      <c r="B4" s="782" t="s">
        <v>20</v>
      </c>
      <c r="C4" s="783"/>
      <c r="D4" s="175" t="s">
        <v>155</v>
      </c>
      <c r="E4" s="183"/>
      <c r="F4" s="182">
        <f>+N5</f>
        <v>1159466.6666666665</v>
      </c>
      <c r="G4" s="175" t="s">
        <v>146</v>
      </c>
      <c r="H4" s="386"/>
      <c r="I4" s="386"/>
      <c r="J4" s="386"/>
      <c r="K4" s="260" t="s">
        <v>201</v>
      </c>
      <c r="L4" s="261" t="s">
        <v>202</v>
      </c>
      <c r="M4" s="384" t="s">
        <v>21</v>
      </c>
      <c r="N4" s="384" t="s">
        <v>20</v>
      </c>
      <c r="O4" s="261" t="s">
        <v>201</v>
      </c>
      <c r="P4" s="261" t="s">
        <v>202</v>
      </c>
      <c r="Q4" s="384" t="s">
        <v>21</v>
      </c>
      <c r="R4" s="790" t="s">
        <v>20</v>
      </c>
      <c r="S4" s="791"/>
    </row>
    <row r="5" spans="1:19" ht="18" customHeight="1">
      <c r="A5" s="84"/>
      <c r="B5" s="782"/>
      <c r="C5" s="783"/>
      <c r="D5" s="175" t="s">
        <v>70</v>
      </c>
      <c r="E5" s="183"/>
      <c r="F5" s="182"/>
      <c r="G5" s="151"/>
      <c r="H5" s="184"/>
      <c r="I5" s="184"/>
      <c r="J5" s="184"/>
      <c r="K5" s="260" t="s">
        <v>570</v>
      </c>
      <c r="L5" s="182">
        <f>+'4.経営収支(法人様式）'!H5</f>
        <v>3200</v>
      </c>
      <c r="M5" s="182">
        <f>'９-2幸水単価'!O20</f>
        <v>362.33333333333331</v>
      </c>
      <c r="N5" s="182">
        <f t="shared" ref="N5" si="0">L5*M5</f>
        <v>1159466.6666666665</v>
      </c>
      <c r="O5" s="182"/>
      <c r="P5" s="182"/>
      <c r="Q5" s="182"/>
      <c r="R5" s="792"/>
      <c r="S5" s="793"/>
    </row>
    <row r="6" spans="1:19" ht="18" customHeight="1" thickBot="1">
      <c r="A6" s="84"/>
      <c r="B6" s="769" t="s">
        <v>158</v>
      </c>
      <c r="C6" s="772" t="s">
        <v>214</v>
      </c>
      <c r="D6" s="182" t="s">
        <v>44</v>
      </c>
      <c r="E6" s="185"/>
      <c r="F6" s="182">
        <f>+'７-１　あけみず収支'!F6</f>
        <v>0</v>
      </c>
      <c r="G6" s="151" t="s">
        <v>147</v>
      </c>
      <c r="H6" s="184"/>
      <c r="I6" s="184"/>
      <c r="J6" s="184"/>
      <c r="K6" s="510"/>
      <c r="L6" s="90"/>
      <c r="M6" s="90"/>
      <c r="N6" s="89"/>
      <c r="O6" s="91" t="s">
        <v>22</v>
      </c>
      <c r="P6" s="92">
        <f>SUM(L5:L6,P5:Q5)</f>
        <v>3200</v>
      </c>
      <c r="Q6" s="93">
        <f>R6/P6</f>
        <v>362.33333333333326</v>
      </c>
      <c r="R6" s="794">
        <f>SUM(N5:N6,R5:S5)</f>
        <v>1159466.6666666665</v>
      </c>
      <c r="S6" s="795"/>
    </row>
    <row r="7" spans="1:19" ht="18" customHeight="1" thickTop="1">
      <c r="A7" s="84"/>
      <c r="B7" s="770"/>
      <c r="C7" s="773"/>
      <c r="D7" s="182" t="s">
        <v>45</v>
      </c>
      <c r="E7" s="185"/>
      <c r="F7" s="182">
        <f>+'７-１　あけみず収支'!F7</f>
        <v>38752</v>
      </c>
      <c r="G7" s="175" t="s">
        <v>587</v>
      </c>
      <c r="H7" s="386"/>
      <c r="I7" s="386"/>
      <c r="J7" s="387"/>
      <c r="K7" s="809" t="s">
        <v>159</v>
      </c>
      <c r="L7" s="177" t="s">
        <v>121</v>
      </c>
      <c r="M7" s="392" t="s">
        <v>7</v>
      </c>
      <c r="N7" s="266" t="s">
        <v>206</v>
      </c>
      <c r="O7" s="391" t="s">
        <v>21</v>
      </c>
      <c r="P7" s="391" t="s">
        <v>24</v>
      </c>
      <c r="Q7" s="796" t="s">
        <v>25</v>
      </c>
      <c r="R7" s="797"/>
      <c r="S7" s="798"/>
    </row>
    <row r="8" spans="1:19" ht="18" customHeight="1">
      <c r="A8" s="84"/>
      <c r="B8" s="770"/>
      <c r="C8" s="773"/>
      <c r="D8" s="182" t="s">
        <v>46</v>
      </c>
      <c r="E8" s="185"/>
      <c r="F8" s="182">
        <f>+'７-１　あけみず収支'!F8</f>
        <v>58858.85</v>
      </c>
      <c r="G8" s="153" t="s">
        <v>588</v>
      </c>
      <c r="H8" s="164"/>
      <c r="I8" s="164"/>
      <c r="J8" s="187"/>
      <c r="K8" s="810"/>
      <c r="L8" s="393"/>
      <c r="M8" s="265" t="s">
        <v>207</v>
      </c>
      <c r="N8" s="116"/>
      <c r="O8" s="116"/>
      <c r="P8" s="116"/>
      <c r="Q8" s="801"/>
      <c r="R8" s="802"/>
      <c r="S8" s="803"/>
    </row>
    <row r="9" spans="1:19" ht="18" customHeight="1">
      <c r="A9" s="84"/>
      <c r="B9" s="770"/>
      <c r="C9" s="773"/>
      <c r="D9" s="182" t="s">
        <v>71</v>
      </c>
      <c r="E9" s="185"/>
      <c r="F9" s="182">
        <f>+'７-１　あけみず収支'!F9</f>
        <v>16400.78</v>
      </c>
      <c r="G9" s="153" t="s">
        <v>589</v>
      </c>
      <c r="H9" s="164"/>
      <c r="I9" s="164"/>
      <c r="J9" s="187"/>
      <c r="K9" s="810"/>
      <c r="L9" s="383"/>
      <c r="M9" s="176"/>
      <c r="N9" s="116"/>
      <c r="O9" s="116"/>
      <c r="P9" s="116"/>
      <c r="Q9" s="801"/>
      <c r="R9" s="802"/>
      <c r="S9" s="803"/>
    </row>
    <row r="10" spans="1:19" ht="18" customHeight="1" thickBot="1">
      <c r="A10" s="84"/>
      <c r="B10" s="770"/>
      <c r="C10" s="773"/>
      <c r="D10" s="182" t="s">
        <v>47</v>
      </c>
      <c r="E10" s="185"/>
      <c r="F10" s="182">
        <f>+'７-１　あけみず収支'!F10</f>
        <v>25839</v>
      </c>
      <c r="G10" s="799"/>
      <c r="H10" s="800"/>
      <c r="I10" s="800"/>
      <c r="J10" s="793"/>
      <c r="K10" s="810"/>
      <c r="L10" s="97" t="s">
        <v>26</v>
      </c>
      <c r="M10" s="96"/>
      <c r="N10" s="97"/>
      <c r="O10" s="97"/>
      <c r="P10" s="97"/>
      <c r="Q10" s="759"/>
      <c r="R10" s="760"/>
      <c r="S10" s="761"/>
    </row>
    <row r="11" spans="1:19" ht="18" customHeight="1" thickTop="1">
      <c r="A11" s="84"/>
      <c r="B11" s="770"/>
      <c r="C11" s="773"/>
      <c r="D11" s="182" t="s">
        <v>4</v>
      </c>
      <c r="E11" s="185"/>
      <c r="F11" s="182">
        <f>+'７-１　あけみず収支'!F11</f>
        <v>2230</v>
      </c>
      <c r="G11" s="799"/>
      <c r="H11" s="800"/>
      <c r="I11" s="800"/>
      <c r="J11" s="793"/>
      <c r="K11" s="810"/>
      <c r="L11" s="171" t="s">
        <v>122</v>
      </c>
      <c r="M11" s="172"/>
      <c r="N11" s="267" t="s">
        <v>206</v>
      </c>
      <c r="O11" s="388" t="s">
        <v>21</v>
      </c>
      <c r="P11" s="174" t="s">
        <v>24</v>
      </c>
      <c r="Q11" s="806" t="s">
        <v>25</v>
      </c>
      <c r="R11" s="807"/>
      <c r="S11" s="808"/>
    </row>
    <row r="12" spans="1:19" ht="18" customHeight="1">
      <c r="A12" s="84"/>
      <c r="B12" s="770"/>
      <c r="C12" s="773"/>
      <c r="D12" s="182" t="s">
        <v>5</v>
      </c>
      <c r="E12" s="185"/>
      <c r="F12" s="182">
        <f>+'７-１　あけみず収支'!F12</f>
        <v>3000</v>
      </c>
      <c r="G12" s="153" t="s">
        <v>461</v>
      </c>
      <c r="H12" s="164"/>
      <c r="I12" s="164"/>
      <c r="J12" s="187"/>
      <c r="K12" s="810"/>
      <c r="L12" s="175" t="s">
        <v>456</v>
      </c>
      <c r="M12" s="176"/>
      <c r="N12" s="153"/>
      <c r="O12" s="168"/>
      <c r="P12" s="166">
        <f>+'７-１　あけみず収支'!P12</f>
        <v>10000</v>
      </c>
      <c r="Q12" s="753"/>
      <c r="R12" s="754"/>
      <c r="S12" s="755"/>
    </row>
    <row r="13" spans="1:19" ht="18" customHeight="1">
      <c r="A13" s="84"/>
      <c r="B13" s="770"/>
      <c r="C13" s="773"/>
      <c r="D13" s="778" t="s">
        <v>48</v>
      </c>
      <c r="E13" s="188" t="s">
        <v>144</v>
      </c>
      <c r="F13" s="182">
        <f>H13*'６　固定資本装備と減価償却費'!L11</f>
        <v>8968</v>
      </c>
      <c r="G13" s="153" t="s">
        <v>148</v>
      </c>
      <c r="H13" s="528">
        <v>0.01</v>
      </c>
      <c r="I13" s="804" t="s">
        <v>150</v>
      </c>
      <c r="J13" s="805"/>
      <c r="K13" s="810"/>
      <c r="L13" s="175" t="s">
        <v>126</v>
      </c>
      <c r="M13" s="176"/>
      <c r="N13" s="153"/>
      <c r="O13" s="168"/>
      <c r="P13" s="166">
        <f>+'７-１　あけみず収支'!P13</f>
        <v>1382</v>
      </c>
      <c r="Q13" s="753"/>
      <c r="R13" s="754"/>
      <c r="S13" s="755"/>
    </row>
    <row r="14" spans="1:19" ht="18" customHeight="1">
      <c r="A14" s="84"/>
      <c r="B14" s="770"/>
      <c r="C14" s="773"/>
      <c r="D14" s="779"/>
      <c r="E14" s="188" t="s">
        <v>145</v>
      </c>
      <c r="F14" s="182">
        <f>H14*'６　固定資本装備と減価償却費'!L24</f>
        <v>16952.900000000001</v>
      </c>
      <c r="G14" s="153" t="s">
        <v>148</v>
      </c>
      <c r="H14" s="528">
        <v>0.05</v>
      </c>
      <c r="I14" s="804" t="s">
        <v>150</v>
      </c>
      <c r="J14" s="805"/>
      <c r="K14" s="810"/>
      <c r="L14" s="153" t="s">
        <v>127</v>
      </c>
      <c r="M14" s="164"/>
      <c r="N14" s="153"/>
      <c r="O14" s="168"/>
      <c r="P14" s="166">
        <f>+'７-１　あけみず収支'!P14</f>
        <v>27370</v>
      </c>
      <c r="Q14" s="753"/>
      <c r="R14" s="754"/>
      <c r="S14" s="755"/>
    </row>
    <row r="15" spans="1:19" ht="18" customHeight="1">
      <c r="A15" s="84"/>
      <c r="B15" s="770"/>
      <c r="C15" s="773"/>
      <c r="D15" s="778" t="s">
        <v>72</v>
      </c>
      <c r="E15" s="188" t="s">
        <v>144</v>
      </c>
      <c r="F15" s="182">
        <f>'６　固定資本装備と減価償却費'!P11</f>
        <v>82779.047619047618</v>
      </c>
      <c r="G15" s="153" t="s">
        <v>150</v>
      </c>
      <c r="H15" s="159"/>
      <c r="I15" s="159"/>
      <c r="J15" s="160"/>
      <c r="K15" s="810"/>
      <c r="L15" s="153" t="s">
        <v>129</v>
      </c>
      <c r="M15" s="164"/>
      <c r="N15" s="153"/>
      <c r="O15" s="168"/>
      <c r="P15" s="166"/>
      <c r="Q15" s="753"/>
      <c r="R15" s="754"/>
      <c r="S15" s="755"/>
    </row>
    <row r="16" spans="1:19" ht="18" customHeight="1">
      <c r="A16" s="84"/>
      <c r="B16" s="770"/>
      <c r="C16" s="773"/>
      <c r="D16" s="780"/>
      <c r="E16" s="188" t="s">
        <v>145</v>
      </c>
      <c r="F16" s="182">
        <f>'６　固定資本装備と減価償却費'!P24</f>
        <v>53209.000000000007</v>
      </c>
      <c r="G16" s="153" t="s">
        <v>150</v>
      </c>
      <c r="H16" s="159"/>
      <c r="I16" s="159"/>
      <c r="J16" s="160"/>
      <c r="K16" s="810"/>
      <c r="L16" s="153" t="s">
        <v>130</v>
      </c>
      <c r="M16" s="164"/>
      <c r="N16" s="153"/>
      <c r="O16" s="166"/>
      <c r="P16" s="166"/>
      <c r="Q16" s="753"/>
      <c r="R16" s="754"/>
      <c r="S16" s="755"/>
    </row>
    <row r="17" spans="1:19" ht="18" customHeight="1" thickBot="1">
      <c r="A17" s="84"/>
      <c r="B17" s="770"/>
      <c r="C17" s="773"/>
      <c r="D17" s="779"/>
      <c r="E17" s="182" t="s">
        <v>49</v>
      </c>
      <c r="F17" s="182">
        <f>'６　固定資本装備と減価償却費'!P26</f>
        <v>10961.538461538461</v>
      </c>
      <c r="G17" s="153" t="s">
        <v>150</v>
      </c>
      <c r="H17" s="159"/>
      <c r="I17" s="159"/>
      <c r="J17" s="160"/>
      <c r="K17" s="810"/>
      <c r="L17" s="97" t="s">
        <v>26</v>
      </c>
      <c r="M17" s="96"/>
      <c r="N17" s="97"/>
      <c r="O17" s="97"/>
      <c r="P17" s="97">
        <f>SUM(P12:P16)</f>
        <v>38752</v>
      </c>
      <c r="Q17" s="759"/>
      <c r="R17" s="760"/>
      <c r="S17" s="761"/>
    </row>
    <row r="18" spans="1:19" ht="18" customHeight="1" thickTop="1">
      <c r="A18" s="83"/>
      <c r="B18" s="770"/>
      <c r="C18" s="773"/>
      <c r="D18" s="182" t="s">
        <v>50</v>
      </c>
      <c r="E18" s="185"/>
      <c r="F18" s="182">
        <f>+'７-１　あけみず収支'!F18</f>
        <v>0</v>
      </c>
      <c r="G18" s="153"/>
      <c r="H18" s="164"/>
      <c r="I18" s="511"/>
      <c r="J18" s="160"/>
      <c r="K18" s="810"/>
      <c r="L18" s="153" t="s">
        <v>123</v>
      </c>
      <c r="M18" s="164"/>
      <c r="N18" s="165" t="s">
        <v>23</v>
      </c>
      <c r="O18" s="165" t="s">
        <v>21</v>
      </c>
      <c r="P18" s="165" t="s">
        <v>24</v>
      </c>
      <c r="Q18" s="806" t="s">
        <v>25</v>
      </c>
      <c r="R18" s="807"/>
      <c r="S18" s="808"/>
    </row>
    <row r="19" spans="1:19" ht="18" customHeight="1">
      <c r="A19" s="83"/>
      <c r="B19" s="770"/>
      <c r="C19" s="773"/>
      <c r="D19" s="182" t="s">
        <v>125</v>
      </c>
      <c r="E19" s="185"/>
      <c r="F19" s="182">
        <f>+'７-１　あけみず収支'!F19</f>
        <v>3174.7198982498981</v>
      </c>
      <c r="G19" s="189" t="s">
        <v>161</v>
      </c>
      <c r="H19" s="199">
        <v>0.01</v>
      </c>
      <c r="I19" s="389"/>
      <c r="J19" s="4"/>
      <c r="K19" s="810"/>
      <c r="L19" s="166" t="s">
        <v>27</v>
      </c>
      <c r="M19" s="164"/>
      <c r="N19" s="153" t="s">
        <v>457</v>
      </c>
      <c r="O19" s="166"/>
      <c r="P19" s="166">
        <f>+'７-１　あけみず収支'!P19</f>
        <v>32200.066666666666</v>
      </c>
      <c r="Q19" s="753"/>
      <c r="R19" s="754"/>
      <c r="S19" s="755"/>
    </row>
    <row r="20" spans="1:19" ht="18" customHeight="1">
      <c r="A20" s="83"/>
      <c r="B20" s="770"/>
      <c r="C20" s="774"/>
      <c r="D20" s="767" t="s">
        <v>154</v>
      </c>
      <c r="E20" s="768"/>
      <c r="F20" s="114">
        <f>SUM(F6:F19)</f>
        <v>321125.83597883594</v>
      </c>
      <c r="G20" s="161"/>
      <c r="H20" s="389"/>
      <c r="I20" s="389"/>
      <c r="J20" s="390"/>
      <c r="K20" s="810"/>
      <c r="L20" s="166" t="s">
        <v>28</v>
      </c>
      <c r="M20" s="164"/>
      <c r="N20" s="153" t="s">
        <v>458</v>
      </c>
      <c r="O20" s="166"/>
      <c r="P20" s="166">
        <f>+'７-１　あけみず収支'!P20</f>
        <v>20797.783333333333</v>
      </c>
      <c r="Q20" s="753"/>
      <c r="R20" s="754"/>
      <c r="S20" s="755"/>
    </row>
    <row r="21" spans="1:19" ht="18" customHeight="1">
      <c r="A21" s="83"/>
      <c r="B21" s="770"/>
      <c r="C21" s="775" t="s">
        <v>149</v>
      </c>
      <c r="D21" s="781" t="s">
        <v>51</v>
      </c>
      <c r="E21" s="14" t="s">
        <v>1</v>
      </c>
      <c r="F21" s="89">
        <f>+L5*24.47</f>
        <v>78304</v>
      </c>
      <c r="G21" s="381" t="s">
        <v>580</v>
      </c>
      <c r="H21" s="164"/>
      <c r="I21" s="94"/>
      <c r="J21" s="187"/>
      <c r="K21" s="810"/>
      <c r="L21" s="166" t="s">
        <v>29</v>
      </c>
      <c r="M21" s="164"/>
      <c r="N21" s="153" t="s">
        <v>459</v>
      </c>
      <c r="O21" s="166"/>
      <c r="P21" s="166">
        <f>+'７-１　あけみず収支'!P21</f>
        <v>5861</v>
      </c>
      <c r="Q21" s="753"/>
      <c r="R21" s="754"/>
      <c r="S21" s="755"/>
    </row>
    <row r="22" spans="1:19" ht="18" customHeight="1">
      <c r="A22" s="83"/>
      <c r="B22" s="770"/>
      <c r="C22" s="776"/>
      <c r="D22" s="726"/>
      <c r="E22" s="14" t="s">
        <v>2</v>
      </c>
      <c r="F22" s="115">
        <f>+L5*2/3*7.7</f>
        <v>16426.666666666668</v>
      </c>
      <c r="G22" s="381" t="s">
        <v>581</v>
      </c>
      <c r="H22" s="190"/>
      <c r="I22" s="190"/>
      <c r="J22" s="191"/>
      <c r="K22" s="810"/>
      <c r="L22" s="166"/>
      <c r="M22" s="164"/>
      <c r="N22" s="153"/>
      <c r="O22" s="166"/>
      <c r="P22" s="166"/>
      <c r="Q22" s="753"/>
      <c r="R22" s="754"/>
      <c r="S22" s="755"/>
    </row>
    <row r="23" spans="1:19" ht="18" customHeight="1" thickBot="1">
      <c r="A23" s="83"/>
      <c r="B23" s="770"/>
      <c r="C23" s="776"/>
      <c r="D23" s="724"/>
      <c r="E23" s="14" t="s">
        <v>6</v>
      </c>
      <c r="F23" s="89">
        <f>0.11*L5*2/3*単価基礎!R4</f>
        <v>71729.777777777781</v>
      </c>
      <c r="G23" s="381" t="s">
        <v>460</v>
      </c>
      <c r="H23" s="386"/>
      <c r="I23" s="190"/>
      <c r="J23" s="387"/>
      <c r="K23" s="810"/>
      <c r="L23" s="97" t="s">
        <v>26</v>
      </c>
      <c r="M23" s="96"/>
      <c r="N23" s="97"/>
      <c r="O23" s="97"/>
      <c r="P23" s="97">
        <f>SUM(P19:P22)</f>
        <v>58858.85</v>
      </c>
      <c r="Q23" s="759"/>
      <c r="R23" s="760"/>
      <c r="S23" s="761"/>
    </row>
    <row r="24" spans="1:19" ht="18" customHeight="1" thickTop="1">
      <c r="A24" s="83"/>
      <c r="B24" s="770"/>
      <c r="C24" s="776"/>
      <c r="D24" s="14" t="s">
        <v>210</v>
      </c>
      <c r="E24" s="19"/>
      <c r="F24" s="115">
        <f>+'７-１　あけみず収支'!F24</f>
        <v>0</v>
      </c>
      <c r="G24" s="175"/>
      <c r="H24" s="193"/>
      <c r="I24" s="194"/>
      <c r="J24" s="192"/>
      <c r="K24" s="810"/>
      <c r="L24" s="153" t="s">
        <v>124</v>
      </c>
      <c r="M24" s="164"/>
      <c r="N24" s="165" t="s">
        <v>23</v>
      </c>
      <c r="O24" s="165" t="s">
        <v>21</v>
      </c>
      <c r="P24" s="165" t="s">
        <v>24</v>
      </c>
      <c r="Q24" s="806" t="s">
        <v>25</v>
      </c>
      <c r="R24" s="807"/>
      <c r="S24" s="808"/>
    </row>
    <row r="25" spans="1:19" ht="18" customHeight="1">
      <c r="A25" s="83"/>
      <c r="B25" s="770"/>
      <c r="C25" s="776"/>
      <c r="D25" s="14" t="s">
        <v>73</v>
      </c>
      <c r="E25" s="19"/>
      <c r="F25" s="115">
        <f>+'７-１　あけみず収支'!F25</f>
        <v>0</v>
      </c>
      <c r="G25" s="175"/>
      <c r="H25" s="195"/>
      <c r="I25" s="196"/>
      <c r="J25" s="197"/>
      <c r="K25" s="810"/>
      <c r="L25" s="166" t="s">
        <v>114</v>
      </c>
      <c r="M25" s="167"/>
      <c r="N25" s="153" t="s">
        <v>573</v>
      </c>
      <c r="O25" s="168"/>
      <c r="P25" s="166">
        <f>+'７-１　あけみず収支'!P25</f>
        <v>8557.4</v>
      </c>
      <c r="Q25" s="762"/>
      <c r="R25" s="763"/>
      <c r="S25" s="764"/>
    </row>
    <row r="26" spans="1:19" ht="18" customHeight="1">
      <c r="A26" s="83"/>
      <c r="B26" s="770"/>
      <c r="C26" s="776"/>
      <c r="D26" s="14" t="s">
        <v>96</v>
      </c>
      <c r="E26" s="15"/>
      <c r="F26" s="115">
        <f>+'７-１　あけみず収支'!F26</f>
        <v>8177.9750000000004</v>
      </c>
      <c r="G26" s="799"/>
      <c r="H26" s="800"/>
      <c r="I26" s="800"/>
      <c r="J26" s="793"/>
      <c r="K26" s="810"/>
      <c r="L26" s="166" t="s">
        <v>115</v>
      </c>
      <c r="M26" s="167"/>
      <c r="N26" s="153" t="s">
        <v>568</v>
      </c>
      <c r="O26" s="168"/>
      <c r="P26" s="166">
        <f>+'７-１　あけみず収支'!P26</f>
        <v>1267.2</v>
      </c>
      <c r="Q26" s="762"/>
      <c r="R26" s="763"/>
      <c r="S26" s="764"/>
    </row>
    <row r="27" spans="1:19" ht="18" customHeight="1">
      <c r="A27" s="83"/>
      <c r="B27" s="770"/>
      <c r="C27" s="776"/>
      <c r="D27" s="20" t="s">
        <v>74</v>
      </c>
      <c r="E27" s="21"/>
      <c r="F27" s="115">
        <f>+'７-１　あけみず収支'!F27</f>
        <v>14285.714285714286</v>
      </c>
      <c r="G27" s="812" t="s">
        <v>579</v>
      </c>
      <c r="H27" s="813"/>
      <c r="I27" s="813"/>
      <c r="J27" s="814"/>
      <c r="K27" s="810"/>
      <c r="L27" s="166" t="s">
        <v>117</v>
      </c>
      <c r="M27" s="164"/>
      <c r="N27" s="168"/>
      <c r="O27" s="168"/>
      <c r="P27" s="166">
        <f>+'７-１　あけみず収支'!P27</f>
        <v>2947.38</v>
      </c>
      <c r="Q27" s="385" t="s">
        <v>116</v>
      </c>
      <c r="R27" s="170">
        <v>0.3</v>
      </c>
      <c r="S27" s="100"/>
    </row>
    <row r="28" spans="1:19" ht="18" customHeight="1">
      <c r="A28" s="83"/>
      <c r="B28" s="770"/>
      <c r="C28" s="776"/>
      <c r="D28" s="14" t="s">
        <v>52</v>
      </c>
      <c r="E28" s="15"/>
      <c r="F28" s="115">
        <f>+'７-１　あけみず収支'!F28</f>
        <v>4128.2</v>
      </c>
      <c r="G28" s="529"/>
      <c r="H28" s="239"/>
      <c r="I28" s="239"/>
      <c r="J28" s="240"/>
      <c r="K28" s="810"/>
      <c r="L28" s="166" t="s">
        <v>118</v>
      </c>
      <c r="M28" s="167"/>
      <c r="N28" s="153"/>
      <c r="O28" s="168"/>
      <c r="P28" s="166"/>
      <c r="Q28" s="753"/>
      <c r="R28" s="754"/>
      <c r="S28" s="755"/>
    </row>
    <row r="29" spans="1:19" ht="18" customHeight="1">
      <c r="A29" s="83"/>
      <c r="B29" s="770"/>
      <c r="C29" s="776"/>
      <c r="D29" s="14" t="s">
        <v>211</v>
      </c>
      <c r="E29" s="19"/>
      <c r="F29" s="115">
        <f>+'７-１　あけみず収支'!F29</f>
        <v>2015.4524716153462</v>
      </c>
      <c r="G29" s="241" t="s">
        <v>578</v>
      </c>
      <c r="H29" s="512"/>
      <c r="I29" s="163"/>
      <c r="J29" s="199">
        <v>0.01</v>
      </c>
      <c r="K29" s="810"/>
      <c r="L29" s="166" t="s">
        <v>119</v>
      </c>
      <c r="M29" s="167"/>
      <c r="N29" s="153"/>
      <c r="O29" s="168"/>
      <c r="P29" s="166"/>
      <c r="Q29" s="753"/>
      <c r="R29" s="754"/>
      <c r="S29" s="755"/>
    </row>
    <row r="30" spans="1:19" ht="18" customHeight="1" thickBot="1">
      <c r="A30" s="83"/>
      <c r="B30" s="771"/>
      <c r="C30" s="777"/>
      <c r="D30" s="765" t="s">
        <v>153</v>
      </c>
      <c r="E30" s="766"/>
      <c r="F30" s="154">
        <f>SUM(F21:F29)</f>
        <v>195067.78620177408</v>
      </c>
      <c r="G30" s="155"/>
      <c r="H30" s="156"/>
      <c r="I30" s="157"/>
      <c r="J30" s="158"/>
      <c r="K30" s="810"/>
      <c r="L30" s="166" t="s">
        <v>208</v>
      </c>
      <c r="M30" s="167"/>
      <c r="N30" s="153"/>
      <c r="O30" s="168"/>
      <c r="P30" s="166"/>
      <c r="Q30" s="271"/>
      <c r="R30" s="272"/>
      <c r="S30" s="273"/>
    </row>
    <row r="31" spans="1:19" ht="18" customHeight="1">
      <c r="A31" s="83"/>
      <c r="B31" s="104"/>
      <c r="C31" s="103"/>
      <c r="D31" s="103"/>
      <c r="E31" s="103"/>
      <c r="F31" s="103"/>
      <c r="G31" s="103"/>
      <c r="H31" s="103"/>
      <c r="I31" s="103"/>
      <c r="J31" s="103"/>
      <c r="K31" s="810"/>
      <c r="L31" s="166" t="s">
        <v>120</v>
      </c>
      <c r="M31" s="164"/>
      <c r="N31" s="153" t="s">
        <v>569</v>
      </c>
      <c r="O31" s="168"/>
      <c r="P31" s="166">
        <f>+'７-１　あけみず収支'!P31</f>
        <v>3628.8</v>
      </c>
      <c r="Q31" s="753"/>
      <c r="R31" s="754"/>
      <c r="S31" s="755"/>
    </row>
    <row r="32" spans="1:19" ht="18" customHeight="1" thickBot="1">
      <c r="A32" s="83"/>
      <c r="B32" s="95"/>
      <c r="C32" s="110"/>
      <c r="D32" s="95"/>
      <c r="E32" s="95"/>
      <c r="F32" s="108"/>
      <c r="G32" s="108"/>
      <c r="H32" s="109"/>
      <c r="I32" s="103"/>
      <c r="J32" s="103"/>
      <c r="K32" s="811"/>
      <c r="L32" s="106" t="s">
        <v>26</v>
      </c>
      <c r="M32" s="105"/>
      <c r="N32" s="106"/>
      <c r="O32" s="106"/>
      <c r="P32" s="106">
        <f>SUM(P25:P31)</f>
        <v>16400.78</v>
      </c>
      <c r="Q32" s="756"/>
      <c r="R32" s="757"/>
      <c r="S32" s="758"/>
    </row>
    <row r="33" spans="1:10">
      <c r="A33" s="83"/>
      <c r="B33" s="83"/>
      <c r="C33" s="83"/>
      <c r="D33" s="83"/>
      <c r="E33" s="83"/>
      <c r="F33" s="83"/>
      <c r="G33" s="83"/>
      <c r="H33" s="83"/>
      <c r="I33" s="83"/>
      <c r="J33" s="83"/>
    </row>
    <row r="34" spans="1:10">
      <c r="A34" s="83"/>
      <c r="B34" s="83"/>
      <c r="C34" s="83"/>
      <c r="D34" s="83"/>
      <c r="E34" s="83"/>
      <c r="F34" s="83"/>
      <c r="G34" s="83"/>
      <c r="H34" s="83"/>
      <c r="I34" s="83"/>
      <c r="J34" s="83"/>
    </row>
    <row r="35" spans="1:10">
      <c r="A35" s="83"/>
      <c r="B35" s="83"/>
      <c r="C35" s="83"/>
      <c r="D35" s="83"/>
      <c r="E35" s="83"/>
      <c r="F35" s="83"/>
      <c r="G35" s="83"/>
      <c r="H35" s="83"/>
      <c r="I35" s="83"/>
      <c r="J35" s="83"/>
    </row>
    <row r="36" spans="1:10">
      <c r="A36" s="83"/>
      <c r="B36" s="83"/>
      <c r="C36" s="83"/>
      <c r="D36" s="83"/>
      <c r="E36" s="83"/>
      <c r="F36" s="83"/>
      <c r="G36" s="83"/>
      <c r="H36" s="83"/>
      <c r="I36" s="83"/>
      <c r="J36" s="83"/>
    </row>
    <row r="37" spans="1:10">
      <c r="A37" s="83"/>
      <c r="B37" s="83"/>
      <c r="C37" s="83"/>
      <c r="D37" s="83"/>
      <c r="E37" s="83"/>
      <c r="F37" s="83"/>
      <c r="G37" s="83"/>
      <c r="H37" s="83"/>
      <c r="I37" s="83"/>
      <c r="J37" s="83"/>
    </row>
  </sheetData>
  <mergeCells count="45">
    <mergeCell ref="D20:E20"/>
    <mergeCell ref="D13:D14"/>
    <mergeCell ref="I13:J13"/>
    <mergeCell ref="C21:C30"/>
    <mergeCell ref="D21:D23"/>
    <mergeCell ref="D30:E30"/>
    <mergeCell ref="G26:J26"/>
    <mergeCell ref="G27:J27"/>
    <mergeCell ref="Q15:S15"/>
    <mergeCell ref="Q32:S32"/>
    <mergeCell ref="Q26:S26"/>
    <mergeCell ref="Q28:S28"/>
    <mergeCell ref="Q29:S29"/>
    <mergeCell ref="Q31:S31"/>
    <mergeCell ref="Q16:S16"/>
    <mergeCell ref="Q17:S17"/>
    <mergeCell ref="Q18:S18"/>
    <mergeCell ref="Q19:S19"/>
    <mergeCell ref="Q20:S20"/>
    <mergeCell ref="Q21:S21"/>
    <mergeCell ref="Q22:S22"/>
    <mergeCell ref="Q25:S25"/>
    <mergeCell ref="Q23:S23"/>
    <mergeCell ref="Q24:S24"/>
    <mergeCell ref="B3:E3"/>
    <mergeCell ref="K3:S3"/>
    <mergeCell ref="B4:C5"/>
    <mergeCell ref="R4:S4"/>
    <mergeCell ref="R5:S5"/>
    <mergeCell ref="Q8:S8"/>
    <mergeCell ref="I14:J14"/>
    <mergeCell ref="Q13:S13"/>
    <mergeCell ref="Q14:S14"/>
    <mergeCell ref="B6:B30"/>
    <mergeCell ref="C6:C20"/>
    <mergeCell ref="G10:J10"/>
    <mergeCell ref="G11:J11"/>
    <mergeCell ref="R6:S6"/>
    <mergeCell ref="Q9:S9"/>
    <mergeCell ref="D15:D17"/>
    <mergeCell ref="Q10:S10"/>
    <mergeCell ref="Q11:S11"/>
    <mergeCell ref="Q12:S12"/>
    <mergeCell ref="K7:K32"/>
    <mergeCell ref="Q7:S7"/>
  </mergeCells>
  <phoneticPr fontId="4"/>
  <conditionalFormatting sqref="F18">
    <cfRule type="cellIs" dxfId="7" priority="2" operator="equal">
      <formula>0</formula>
    </cfRule>
  </conditionalFormatting>
  <conditionalFormatting sqref="F24:F25">
    <cfRule type="cellIs" dxfId="6" priority="1" operator="equal">
      <formula>0</formula>
    </cfRule>
  </conditionalFormatting>
  <pageMargins left="0.7" right="0.7" top="0.75" bottom="0.75" header="0.3" footer="0.3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7"/>
  <sheetViews>
    <sheetView zoomScale="75" zoomScaleNormal="75" zoomScaleSheetLayoutView="75" workbookViewId="0"/>
  </sheetViews>
  <sheetFormatPr defaultRowHeight="13.5"/>
  <cols>
    <col min="1" max="1" width="3.25" customWidth="1"/>
    <col min="5" max="6" width="15.625" customWidth="1"/>
    <col min="7" max="7" width="10.625" customWidth="1"/>
    <col min="9" max="9" width="10.75" customWidth="1"/>
    <col min="10" max="10" width="10.25" customWidth="1"/>
  </cols>
  <sheetData>
    <row r="2" spans="1:19" ht="24.95" customHeight="1" thickBot="1">
      <c r="A2" s="84"/>
      <c r="B2" s="1" t="s">
        <v>597</v>
      </c>
      <c r="C2" s="84"/>
      <c r="D2" s="84"/>
      <c r="E2" s="84"/>
      <c r="F2" s="84"/>
      <c r="G2" s="84"/>
      <c r="H2" s="85" t="s">
        <v>188</v>
      </c>
      <c r="I2" s="1" t="s">
        <v>417</v>
      </c>
      <c r="J2" s="84"/>
      <c r="K2" s="85" t="s">
        <v>189</v>
      </c>
      <c r="L2" s="1" t="s">
        <v>294</v>
      </c>
      <c r="M2" s="84"/>
      <c r="N2" s="83"/>
      <c r="O2" s="83"/>
      <c r="P2" s="84"/>
      <c r="Q2" s="2"/>
      <c r="R2" s="2"/>
      <c r="S2" s="84"/>
    </row>
    <row r="3" spans="1:19" ht="18" customHeight="1">
      <c r="A3" s="84"/>
      <c r="B3" s="784" t="s">
        <v>17</v>
      </c>
      <c r="C3" s="785"/>
      <c r="D3" s="785"/>
      <c r="E3" s="786"/>
      <c r="F3" s="396" t="s">
        <v>18</v>
      </c>
      <c r="G3" s="87"/>
      <c r="H3" s="88" t="s">
        <v>19</v>
      </c>
      <c r="I3" s="86"/>
      <c r="J3" s="86"/>
      <c r="K3" s="787" t="s">
        <v>160</v>
      </c>
      <c r="L3" s="788"/>
      <c r="M3" s="788"/>
      <c r="N3" s="788"/>
      <c r="O3" s="788"/>
      <c r="P3" s="788"/>
      <c r="Q3" s="788"/>
      <c r="R3" s="788"/>
      <c r="S3" s="789"/>
    </row>
    <row r="4" spans="1:19" ht="18" customHeight="1">
      <c r="A4" s="84"/>
      <c r="B4" s="782" t="s">
        <v>20</v>
      </c>
      <c r="C4" s="783"/>
      <c r="D4" s="175" t="s">
        <v>155</v>
      </c>
      <c r="E4" s="183"/>
      <c r="F4" s="182">
        <f>+N5</f>
        <v>1230000</v>
      </c>
      <c r="G4" s="175" t="s">
        <v>146</v>
      </c>
      <c r="H4" s="386"/>
      <c r="I4" s="386"/>
      <c r="J4" s="386"/>
      <c r="K4" s="260" t="s">
        <v>201</v>
      </c>
      <c r="L4" s="261" t="s">
        <v>202</v>
      </c>
      <c r="M4" s="384" t="s">
        <v>21</v>
      </c>
      <c r="N4" s="384" t="s">
        <v>20</v>
      </c>
      <c r="O4" s="261" t="s">
        <v>201</v>
      </c>
      <c r="P4" s="261" t="s">
        <v>202</v>
      </c>
      <c r="Q4" s="384" t="s">
        <v>21</v>
      </c>
      <c r="R4" s="790" t="s">
        <v>20</v>
      </c>
      <c r="S4" s="791"/>
    </row>
    <row r="5" spans="1:19" ht="18" customHeight="1">
      <c r="A5" s="84"/>
      <c r="B5" s="782"/>
      <c r="C5" s="783"/>
      <c r="D5" s="175" t="s">
        <v>70</v>
      </c>
      <c r="E5" s="183"/>
      <c r="F5" s="182"/>
      <c r="G5" s="151"/>
      <c r="H5" s="184"/>
      <c r="I5" s="184"/>
      <c r="J5" s="184"/>
      <c r="K5" s="259">
        <v>9</v>
      </c>
      <c r="L5" s="182">
        <f>+'4.経営収支(法人様式）'!I5</f>
        <v>3600</v>
      </c>
      <c r="M5" s="182">
        <f>'９-3豊水単価'!O20</f>
        <v>341.66666666666669</v>
      </c>
      <c r="N5" s="182">
        <f t="shared" ref="N5" si="0">L5*M5</f>
        <v>1230000</v>
      </c>
      <c r="O5" s="182"/>
      <c r="P5" s="182"/>
      <c r="Q5" s="182"/>
      <c r="R5" s="792"/>
      <c r="S5" s="793"/>
    </row>
    <row r="6" spans="1:19" ht="18" customHeight="1" thickBot="1">
      <c r="A6" s="84"/>
      <c r="B6" s="769" t="s">
        <v>158</v>
      </c>
      <c r="C6" s="772" t="s">
        <v>214</v>
      </c>
      <c r="D6" s="182" t="s">
        <v>44</v>
      </c>
      <c r="E6" s="185"/>
      <c r="F6" s="182">
        <f>+'７-２幸水収支'!F6</f>
        <v>0</v>
      </c>
      <c r="G6" s="151" t="s">
        <v>147</v>
      </c>
      <c r="H6" s="184"/>
      <c r="I6" s="184"/>
      <c r="J6" s="184"/>
      <c r="K6" s="510"/>
      <c r="L6" s="90"/>
      <c r="M6" s="90"/>
      <c r="N6" s="89"/>
      <c r="O6" s="91" t="s">
        <v>22</v>
      </c>
      <c r="P6" s="92">
        <f>SUM(L5:L6,P5:Q5)</f>
        <v>3600</v>
      </c>
      <c r="Q6" s="93">
        <f>R6/P6</f>
        <v>341.66666666666669</v>
      </c>
      <c r="R6" s="794">
        <f>SUM(N5:N6,R5:S5)</f>
        <v>1230000</v>
      </c>
      <c r="S6" s="795"/>
    </row>
    <row r="7" spans="1:19" ht="18" customHeight="1" thickTop="1">
      <c r="A7" s="84"/>
      <c r="B7" s="770"/>
      <c r="C7" s="773"/>
      <c r="D7" s="182" t="s">
        <v>45</v>
      </c>
      <c r="E7" s="185"/>
      <c r="F7" s="182">
        <f>+'７-２幸水収支'!F7</f>
        <v>38752</v>
      </c>
      <c r="G7" s="175" t="s">
        <v>587</v>
      </c>
      <c r="H7" s="386"/>
      <c r="I7" s="386"/>
      <c r="J7" s="387"/>
      <c r="K7" s="809" t="s">
        <v>159</v>
      </c>
      <c r="L7" s="177" t="s">
        <v>121</v>
      </c>
      <c r="M7" s="392" t="s">
        <v>7</v>
      </c>
      <c r="N7" s="266" t="s">
        <v>206</v>
      </c>
      <c r="O7" s="391" t="s">
        <v>21</v>
      </c>
      <c r="P7" s="391" t="s">
        <v>24</v>
      </c>
      <c r="Q7" s="796" t="s">
        <v>25</v>
      </c>
      <c r="R7" s="797"/>
      <c r="S7" s="798"/>
    </row>
    <row r="8" spans="1:19" ht="18" customHeight="1">
      <c r="A8" s="84"/>
      <c r="B8" s="770"/>
      <c r="C8" s="773"/>
      <c r="D8" s="182" t="s">
        <v>46</v>
      </c>
      <c r="E8" s="185"/>
      <c r="F8" s="182">
        <f>+'７-２幸水収支'!F8</f>
        <v>58858.85</v>
      </c>
      <c r="G8" s="153" t="s">
        <v>588</v>
      </c>
      <c r="H8" s="164"/>
      <c r="I8" s="164"/>
      <c r="J8" s="187"/>
      <c r="K8" s="810"/>
      <c r="L8" s="393"/>
      <c r="M8" s="265" t="s">
        <v>207</v>
      </c>
      <c r="N8" s="116"/>
      <c r="O8" s="116"/>
      <c r="P8" s="116"/>
      <c r="Q8" s="801"/>
      <c r="R8" s="802"/>
      <c r="S8" s="803"/>
    </row>
    <row r="9" spans="1:19" ht="18" customHeight="1">
      <c r="A9" s="84"/>
      <c r="B9" s="770"/>
      <c r="C9" s="773"/>
      <c r="D9" s="182" t="s">
        <v>71</v>
      </c>
      <c r="E9" s="185"/>
      <c r="F9" s="182">
        <f>+'７-２幸水収支'!F9</f>
        <v>16400.78</v>
      </c>
      <c r="G9" s="153" t="s">
        <v>589</v>
      </c>
      <c r="H9" s="164"/>
      <c r="I9" s="164"/>
      <c r="J9" s="187"/>
      <c r="K9" s="810"/>
      <c r="L9" s="383"/>
      <c r="M9" s="176"/>
      <c r="N9" s="116"/>
      <c r="O9" s="116"/>
      <c r="P9" s="116"/>
      <c r="Q9" s="801"/>
      <c r="R9" s="802"/>
      <c r="S9" s="803"/>
    </row>
    <row r="10" spans="1:19" ht="18" customHeight="1" thickBot="1">
      <c r="A10" s="84"/>
      <c r="B10" s="770"/>
      <c r="C10" s="773"/>
      <c r="D10" s="182" t="s">
        <v>47</v>
      </c>
      <c r="E10" s="185"/>
      <c r="F10" s="182">
        <f>+'７-２幸水収支'!F10</f>
        <v>25839</v>
      </c>
      <c r="G10" s="799"/>
      <c r="H10" s="800"/>
      <c r="I10" s="800"/>
      <c r="J10" s="793"/>
      <c r="K10" s="810"/>
      <c r="L10" s="97" t="s">
        <v>26</v>
      </c>
      <c r="M10" s="96"/>
      <c r="N10" s="97"/>
      <c r="O10" s="97"/>
      <c r="P10" s="97"/>
      <c r="Q10" s="759"/>
      <c r="R10" s="760"/>
      <c r="S10" s="761"/>
    </row>
    <row r="11" spans="1:19" ht="18" customHeight="1" thickTop="1">
      <c r="A11" s="84"/>
      <c r="B11" s="770"/>
      <c r="C11" s="773"/>
      <c r="D11" s="182" t="s">
        <v>4</v>
      </c>
      <c r="E11" s="185"/>
      <c r="F11" s="182">
        <f>+'７-２幸水収支'!F11</f>
        <v>2230</v>
      </c>
      <c r="G11" s="799"/>
      <c r="H11" s="800"/>
      <c r="I11" s="800"/>
      <c r="J11" s="793"/>
      <c r="K11" s="810"/>
      <c r="L11" s="171" t="s">
        <v>122</v>
      </c>
      <c r="M11" s="172"/>
      <c r="N11" s="267" t="s">
        <v>206</v>
      </c>
      <c r="O11" s="388" t="s">
        <v>21</v>
      </c>
      <c r="P11" s="174" t="s">
        <v>24</v>
      </c>
      <c r="Q11" s="806" t="s">
        <v>25</v>
      </c>
      <c r="R11" s="807"/>
      <c r="S11" s="808"/>
    </row>
    <row r="12" spans="1:19" ht="18" customHeight="1">
      <c r="A12" s="84"/>
      <c r="B12" s="770"/>
      <c r="C12" s="773"/>
      <c r="D12" s="182" t="s">
        <v>5</v>
      </c>
      <c r="E12" s="185"/>
      <c r="F12" s="182">
        <f>+'７-２幸水収支'!F12</f>
        <v>3000</v>
      </c>
      <c r="G12" s="153" t="s">
        <v>461</v>
      </c>
      <c r="H12" s="164"/>
      <c r="I12" s="164"/>
      <c r="J12" s="187"/>
      <c r="K12" s="810"/>
      <c r="L12" s="175" t="s">
        <v>456</v>
      </c>
      <c r="M12" s="176"/>
      <c r="N12" s="153"/>
      <c r="O12" s="168"/>
      <c r="P12" s="166">
        <f>+'７-２幸水収支'!P12</f>
        <v>10000</v>
      </c>
      <c r="Q12" s="753"/>
      <c r="R12" s="754"/>
      <c r="S12" s="755"/>
    </row>
    <row r="13" spans="1:19" ht="18" customHeight="1">
      <c r="A13" s="84"/>
      <c r="B13" s="770"/>
      <c r="C13" s="773"/>
      <c r="D13" s="778" t="s">
        <v>48</v>
      </c>
      <c r="E13" s="188" t="s">
        <v>144</v>
      </c>
      <c r="F13" s="182">
        <f>H13*'６　固定資本装備と減価償却費'!L11</f>
        <v>8968</v>
      </c>
      <c r="G13" s="153" t="s">
        <v>148</v>
      </c>
      <c r="H13" s="528">
        <v>0.01</v>
      </c>
      <c r="I13" s="804" t="s">
        <v>150</v>
      </c>
      <c r="J13" s="805"/>
      <c r="K13" s="810"/>
      <c r="L13" s="175" t="s">
        <v>126</v>
      </c>
      <c r="M13" s="176"/>
      <c r="N13" s="153"/>
      <c r="O13" s="168"/>
      <c r="P13" s="166">
        <f>+'７-２幸水収支'!P13</f>
        <v>1382</v>
      </c>
      <c r="Q13" s="753"/>
      <c r="R13" s="754"/>
      <c r="S13" s="755"/>
    </row>
    <row r="14" spans="1:19" ht="18" customHeight="1">
      <c r="A14" s="84"/>
      <c r="B14" s="770"/>
      <c r="C14" s="773"/>
      <c r="D14" s="779"/>
      <c r="E14" s="188" t="s">
        <v>145</v>
      </c>
      <c r="F14" s="182">
        <f>H14*'６　固定資本装備と減価償却費'!L24</f>
        <v>16952.900000000001</v>
      </c>
      <c r="G14" s="153" t="s">
        <v>148</v>
      </c>
      <c r="H14" s="528">
        <v>0.05</v>
      </c>
      <c r="I14" s="804" t="s">
        <v>150</v>
      </c>
      <c r="J14" s="805"/>
      <c r="K14" s="810"/>
      <c r="L14" s="153" t="s">
        <v>127</v>
      </c>
      <c r="M14" s="164"/>
      <c r="N14" s="153"/>
      <c r="O14" s="168"/>
      <c r="P14" s="166">
        <f>+'７-２幸水収支'!P14</f>
        <v>27370</v>
      </c>
      <c r="Q14" s="753"/>
      <c r="R14" s="754"/>
      <c r="S14" s="755"/>
    </row>
    <row r="15" spans="1:19" ht="18" customHeight="1">
      <c r="A15" s="84"/>
      <c r="B15" s="770"/>
      <c r="C15" s="773"/>
      <c r="D15" s="778" t="s">
        <v>72</v>
      </c>
      <c r="E15" s="188" t="s">
        <v>144</v>
      </c>
      <c r="F15" s="182">
        <f>'６　固定資本装備と減価償却費'!P11</f>
        <v>82779.047619047618</v>
      </c>
      <c r="G15" s="153" t="s">
        <v>150</v>
      </c>
      <c r="H15" s="159"/>
      <c r="I15" s="159"/>
      <c r="J15" s="160"/>
      <c r="K15" s="810"/>
      <c r="L15" s="153" t="s">
        <v>129</v>
      </c>
      <c r="M15" s="164"/>
      <c r="N15" s="153"/>
      <c r="O15" s="168"/>
      <c r="P15" s="166"/>
      <c r="Q15" s="753"/>
      <c r="R15" s="754"/>
      <c r="S15" s="755"/>
    </row>
    <row r="16" spans="1:19" ht="18" customHeight="1">
      <c r="A16" s="84"/>
      <c r="B16" s="770"/>
      <c r="C16" s="773"/>
      <c r="D16" s="780"/>
      <c r="E16" s="188" t="s">
        <v>145</v>
      </c>
      <c r="F16" s="182">
        <f>'６　固定資本装備と減価償却費'!P24</f>
        <v>53209.000000000007</v>
      </c>
      <c r="G16" s="153" t="s">
        <v>150</v>
      </c>
      <c r="H16" s="159"/>
      <c r="I16" s="159"/>
      <c r="J16" s="160"/>
      <c r="K16" s="810"/>
      <c r="L16" s="153" t="s">
        <v>130</v>
      </c>
      <c r="M16" s="164"/>
      <c r="N16" s="153"/>
      <c r="O16" s="166"/>
      <c r="P16" s="166"/>
      <c r="Q16" s="753"/>
      <c r="R16" s="754"/>
      <c r="S16" s="755"/>
    </row>
    <row r="17" spans="1:19" ht="18" customHeight="1" thickBot="1">
      <c r="A17" s="84"/>
      <c r="B17" s="770"/>
      <c r="C17" s="773"/>
      <c r="D17" s="779"/>
      <c r="E17" s="182" t="s">
        <v>49</v>
      </c>
      <c r="F17" s="182">
        <f>'６　固定資本装備と減価償却費'!P27</f>
        <v>7307.6923076923076</v>
      </c>
      <c r="G17" s="153" t="s">
        <v>150</v>
      </c>
      <c r="H17" s="159"/>
      <c r="I17" s="159"/>
      <c r="J17" s="160"/>
      <c r="K17" s="810"/>
      <c r="L17" s="97" t="s">
        <v>26</v>
      </c>
      <c r="M17" s="96"/>
      <c r="N17" s="97"/>
      <c r="O17" s="97"/>
      <c r="P17" s="97">
        <f>SUM(P12:P16)</f>
        <v>38752</v>
      </c>
      <c r="Q17" s="759"/>
      <c r="R17" s="760"/>
      <c r="S17" s="761"/>
    </row>
    <row r="18" spans="1:19" ht="18" customHeight="1" thickTop="1">
      <c r="A18" s="83"/>
      <c r="B18" s="770"/>
      <c r="C18" s="773"/>
      <c r="D18" s="182" t="s">
        <v>50</v>
      </c>
      <c r="E18" s="185"/>
      <c r="F18" s="182">
        <f>+'７-２幸水収支'!F18</f>
        <v>0</v>
      </c>
      <c r="G18" s="153"/>
      <c r="H18" s="164"/>
      <c r="I18" s="511"/>
      <c r="J18" s="160"/>
      <c r="K18" s="810"/>
      <c r="L18" s="153" t="s">
        <v>123</v>
      </c>
      <c r="M18" s="164"/>
      <c r="N18" s="165" t="s">
        <v>23</v>
      </c>
      <c r="O18" s="165" t="s">
        <v>21</v>
      </c>
      <c r="P18" s="165" t="s">
        <v>24</v>
      </c>
      <c r="Q18" s="806" t="s">
        <v>25</v>
      </c>
      <c r="R18" s="807"/>
      <c r="S18" s="808"/>
    </row>
    <row r="19" spans="1:19" ht="18" customHeight="1">
      <c r="A19" s="83"/>
      <c r="B19" s="770"/>
      <c r="C19" s="773"/>
      <c r="D19" s="182" t="s">
        <v>125</v>
      </c>
      <c r="E19" s="185"/>
      <c r="F19" s="182">
        <f>+'７-２幸水収支'!F19</f>
        <v>3174.7198982498981</v>
      </c>
      <c r="G19" s="189" t="s">
        <v>161</v>
      </c>
      <c r="H19" s="199">
        <v>0.01</v>
      </c>
      <c r="I19" s="389"/>
      <c r="J19" s="4"/>
      <c r="K19" s="810"/>
      <c r="L19" s="166" t="s">
        <v>27</v>
      </c>
      <c r="M19" s="164"/>
      <c r="N19" s="153" t="s">
        <v>457</v>
      </c>
      <c r="O19" s="166"/>
      <c r="P19" s="166">
        <f>+'７-２幸水収支'!P19</f>
        <v>32200.066666666666</v>
      </c>
      <c r="Q19" s="753"/>
      <c r="R19" s="754"/>
      <c r="S19" s="755"/>
    </row>
    <row r="20" spans="1:19" ht="18" customHeight="1">
      <c r="A20" s="83"/>
      <c r="B20" s="770"/>
      <c r="C20" s="774"/>
      <c r="D20" s="767" t="s">
        <v>154</v>
      </c>
      <c r="E20" s="768"/>
      <c r="F20" s="114">
        <f>SUM(F6:F19)</f>
        <v>317471.98982498981</v>
      </c>
      <c r="G20" s="161"/>
      <c r="H20" s="389"/>
      <c r="I20" s="389"/>
      <c r="J20" s="390"/>
      <c r="K20" s="810"/>
      <c r="L20" s="166" t="s">
        <v>28</v>
      </c>
      <c r="M20" s="164"/>
      <c r="N20" s="153" t="s">
        <v>567</v>
      </c>
      <c r="O20" s="166"/>
      <c r="P20" s="166">
        <f>+'７-２幸水収支'!P20</f>
        <v>20797.783333333333</v>
      </c>
      <c r="Q20" s="753"/>
      <c r="R20" s="754"/>
      <c r="S20" s="755"/>
    </row>
    <row r="21" spans="1:19" ht="18" customHeight="1">
      <c r="A21" s="83"/>
      <c r="B21" s="770"/>
      <c r="C21" s="775" t="s">
        <v>149</v>
      </c>
      <c r="D21" s="781" t="s">
        <v>51</v>
      </c>
      <c r="E21" s="14" t="s">
        <v>1</v>
      </c>
      <c r="F21" s="89">
        <f>+L5*24.47</f>
        <v>88092</v>
      </c>
      <c r="G21" s="381" t="s">
        <v>580</v>
      </c>
      <c r="H21" s="164"/>
      <c r="I21" s="94"/>
      <c r="J21" s="187"/>
      <c r="K21" s="810"/>
      <c r="L21" s="166" t="s">
        <v>29</v>
      </c>
      <c r="M21" s="164"/>
      <c r="N21" s="153" t="s">
        <v>459</v>
      </c>
      <c r="O21" s="166"/>
      <c r="P21" s="166">
        <f>+'７-２幸水収支'!P21</f>
        <v>5861</v>
      </c>
      <c r="Q21" s="753"/>
      <c r="R21" s="754"/>
      <c r="S21" s="755"/>
    </row>
    <row r="22" spans="1:19" ht="18" customHeight="1">
      <c r="A22" s="83"/>
      <c r="B22" s="770"/>
      <c r="C22" s="776"/>
      <c r="D22" s="726"/>
      <c r="E22" s="14" t="s">
        <v>2</v>
      </c>
      <c r="F22" s="115">
        <f>+L5*2/3*7.7</f>
        <v>18480</v>
      </c>
      <c r="G22" s="381" t="s">
        <v>581</v>
      </c>
      <c r="H22" s="190"/>
      <c r="I22" s="190"/>
      <c r="J22" s="191"/>
      <c r="K22" s="810"/>
      <c r="L22" s="166"/>
      <c r="M22" s="164"/>
      <c r="N22" s="153"/>
      <c r="O22" s="166"/>
      <c r="P22" s="166"/>
      <c r="Q22" s="753"/>
      <c r="R22" s="754"/>
      <c r="S22" s="755"/>
    </row>
    <row r="23" spans="1:19" ht="18" customHeight="1" thickBot="1">
      <c r="A23" s="83"/>
      <c r="B23" s="770"/>
      <c r="C23" s="776"/>
      <c r="D23" s="724"/>
      <c r="E23" s="14" t="s">
        <v>6</v>
      </c>
      <c r="F23" s="89">
        <f>+L5*0.666666666666667*0.11*単価基礎!R8</f>
        <v>72512.000000000029</v>
      </c>
      <c r="G23" s="381" t="s">
        <v>460</v>
      </c>
      <c r="H23" s="386"/>
      <c r="I23" s="190"/>
      <c r="J23" s="387"/>
      <c r="K23" s="810"/>
      <c r="L23" s="97" t="s">
        <v>26</v>
      </c>
      <c r="M23" s="96"/>
      <c r="N23" s="97"/>
      <c r="O23" s="97"/>
      <c r="P23" s="97">
        <f>SUM(P19:P22)</f>
        <v>58858.85</v>
      </c>
      <c r="Q23" s="759"/>
      <c r="R23" s="760"/>
      <c r="S23" s="761"/>
    </row>
    <row r="24" spans="1:19" ht="18" customHeight="1" thickTop="1">
      <c r="A24" s="83"/>
      <c r="B24" s="770"/>
      <c r="C24" s="776"/>
      <c r="D24" s="14" t="s">
        <v>210</v>
      </c>
      <c r="E24" s="19"/>
      <c r="F24" s="115">
        <f>+'７-２幸水収支'!F24</f>
        <v>0</v>
      </c>
      <c r="G24" s="175"/>
      <c r="H24" s="193"/>
      <c r="I24" s="194"/>
      <c r="J24" s="192"/>
      <c r="K24" s="810"/>
      <c r="L24" s="153" t="s">
        <v>124</v>
      </c>
      <c r="M24" s="164"/>
      <c r="N24" s="165" t="s">
        <v>23</v>
      </c>
      <c r="O24" s="165" t="s">
        <v>21</v>
      </c>
      <c r="P24" s="165" t="s">
        <v>24</v>
      </c>
      <c r="Q24" s="806" t="s">
        <v>25</v>
      </c>
      <c r="R24" s="807"/>
      <c r="S24" s="808"/>
    </row>
    <row r="25" spans="1:19" ht="18" customHeight="1">
      <c r="A25" s="83"/>
      <c r="B25" s="770"/>
      <c r="C25" s="776"/>
      <c r="D25" s="14" t="s">
        <v>73</v>
      </c>
      <c r="E25" s="19"/>
      <c r="F25" s="115">
        <f>+'７-２幸水収支'!F25</f>
        <v>0</v>
      </c>
      <c r="G25" s="175"/>
      <c r="H25" s="195"/>
      <c r="I25" s="196"/>
      <c r="J25" s="197"/>
      <c r="K25" s="810"/>
      <c r="L25" s="166" t="s">
        <v>114</v>
      </c>
      <c r="M25" s="167"/>
      <c r="N25" s="153" t="s">
        <v>573</v>
      </c>
      <c r="O25" s="168"/>
      <c r="P25" s="166">
        <f>+'７-２幸水収支'!P25</f>
        <v>8557.4</v>
      </c>
      <c r="Q25" s="762"/>
      <c r="R25" s="763"/>
      <c r="S25" s="764"/>
    </row>
    <row r="26" spans="1:19" ht="18" customHeight="1">
      <c r="A26" s="83"/>
      <c r="B26" s="770"/>
      <c r="C26" s="776"/>
      <c r="D26" s="14" t="s">
        <v>96</v>
      </c>
      <c r="E26" s="15"/>
      <c r="F26" s="115">
        <f>+'７-２幸水収支'!F26</f>
        <v>8177.9750000000004</v>
      </c>
      <c r="G26" s="799"/>
      <c r="H26" s="800"/>
      <c r="I26" s="800"/>
      <c r="J26" s="793"/>
      <c r="K26" s="810"/>
      <c r="L26" s="166" t="s">
        <v>115</v>
      </c>
      <c r="M26" s="167"/>
      <c r="N26" s="153" t="s">
        <v>568</v>
      </c>
      <c r="O26" s="168"/>
      <c r="P26" s="166">
        <f>+'７-２幸水収支'!P26</f>
        <v>1267.2</v>
      </c>
      <c r="Q26" s="762"/>
      <c r="R26" s="763"/>
      <c r="S26" s="764"/>
    </row>
    <row r="27" spans="1:19" ht="18" customHeight="1">
      <c r="A27" s="83"/>
      <c r="B27" s="770"/>
      <c r="C27" s="776"/>
      <c r="D27" s="20" t="s">
        <v>74</v>
      </c>
      <c r="E27" s="21"/>
      <c r="F27" s="115">
        <f>+'７-２幸水収支'!F27</f>
        <v>14285.714285714286</v>
      </c>
      <c r="G27" s="812" t="s">
        <v>579</v>
      </c>
      <c r="H27" s="813"/>
      <c r="I27" s="813"/>
      <c r="J27" s="814"/>
      <c r="K27" s="810"/>
      <c r="L27" s="166" t="s">
        <v>117</v>
      </c>
      <c r="M27" s="164"/>
      <c r="N27" s="168"/>
      <c r="O27" s="168"/>
      <c r="P27" s="166">
        <f>+'７-２幸水収支'!P27</f>
        <v>2947.38</v>
      </c>
      <c r="Q27" s="385" t="s">
        <v>116</v>
      </c>
      <c r="R27" s="170">
        <v>0.2</v>
      </c>
      <c r="S27" s="100"/>
    </row>
    <row r="28" spans="1:19" ht="18" customHeight="1">
      <c r="A28" s="83"/>
      <c r="B28" s="770"/>
      <c r="C28" s="776"/>
      <c r="D28" s="14" t="s">
        <v>52</v>
      </c>
      <c r="E28" s="15"/>
      <c r="F28" s="115">
        <f>+'７-２幸水収支'!F28</f>
        <v>4128.2</v>
      </c>
      <c r="G28" s="241"/>
      <c r="H28" s="239"/>
      <c r="I28" s="239"/>
      <c r="J28" s="240"/>
      <c r="K28" s="810"/>
      <c r="L28" s="166" t="s">
        <v>118</v>
      </c>
      <c r="M28" s="167"/>
      <c r="N28" s="153"/>
      <c r="O28" s="168"/>
      <c r="P28" s="166"/>
      <c r="Q28" s="753"/>
      <c r="R28" s="754"/>
      <c r="S28" s="755"/>
    </row>
    <row r="29" spans="1:19" ht="18" customHeight="1">
      <c r="A29" s="83"/>
      <c r="B29" s="770"/>
      <c r="C29" s="776"/>
      <c r="D29" s="14" t="s">
        <v>211</v>
      </c>
      <c r="E29" s="19"/>
      <c r="F29" s="115">
        <f>+'７-２幸水収支'!F29</f>
        <v>2015.4524716153462</v>
      </c>
      <c r="G29" s="241" t="s">
        <v>578</v>
      </c>
      <c r="H29" s="199"/>
      <c r="I29" s="163"/>
      <c r="J29" s="199">
        <v>0.01</v>
      </c>
      <c r="K29" s="810"/>
      <c r="L29" s="166" t="s">
        <v>119</v>
      </c>
      <c r="M29" s="167"/>
      <c r="N29" s="153"/>
      <c r="O29" s="168"/>
      <c r="P29" s="166"/>
      <c r="Q29" s="753"/>
      <c r="R29" s="754"/>
      <c r="S29" s="755"/>
    </row>
    <row r="30" spans="1:19" ht="18" customHeight="1" thickBot="1">
      <c r="A30" s="83"/>
      <c r="B30" s="771"/>
      <c r="C30" s="777"/>
      <c r="D30" s="815" t="s">
        <v>153</v>
      </c>
      <c r="E30" s="816"/>
      <c r="F30" s="154">
        <f>SUM(F21:F29)</f>
        <v>207691.34175732968</v>
      </c>
      <c r="G30" s="155"/>
      <c r="H30" s="156"/>
      <c r="I30" s="157"/>
      <c r="J30" s="158"/>
      <c r="K30" s="810"/>
      <c r="L30" s="166" t="s">
        <v>208</v>
      </c>
      <c r="M30" s="167"/>
      <c r="N30" s="153"/>
      <c r="O30" s="168"/>
      <c r="P30" s="166"/>
      <c r="Q30" s="271"/>
      <c r="R30" s="272"/>
      <c r="S30" s="273"/>
    </row>
    <row r="31" spans="1:19" ht="18" customHeight="1">
      <c r="A31" s="83"/>
      <c r="B31" s="104"/>
      <c r="C31" s="103"/>
      <c r="D31" s="103"/>
      <c r="E31" s="103"/>
      <c r="F31" s="103"/>
      <c r="G31" s="103"/>
      <c r="H31" s="103"/>
      <c r="I31" s="103"/>
      <c r="J31" s="103"/>
      <c r="K31" s="810"/>
      <c r="L31" s="166" t="s">
        <v>120</v>
      </c>
      <c r="M31" s="164"/>
      <c r="N31" s="153" t="s">
        <v>569</v>
      </c>
      <c r="O31" s="168"/>
      <c r="P31" s="166">
        <f>+'７-２幸水収支'!P31</f>
        <v>3628.8</v>
      </c>
      <c r="Q31" s="753"/>
      <c r="R31" s="754"/>
      <c r="S31" s="755"/>
    </row>
    <row r="32" spans="1:19" ht="18" customHeight="1" thickBot="1">
      <c r="A32" s="83"/>
      <c r="B32" s="95"/>
      <c r="C32" s="110"/>
      <c r="D32" s="95"/>
      <c r="E32" s="95"/>
      <c r="F32" s="108"/>
      <c r="G32" s="108"/>
      <c r="H32" s="109"/>
      <c r="I32" s="103"/>
      <c r="J32" s="103"/>
      <c r="K32" s="811"/>
      <c r="L32" s="106" t="s">
        <v>26</v>
      </c>
      <c r="M32" s="105"/>
      <c r="N32" s="106"/>
      <c r="O32" s="106"/>
      <c r="P32" s="106">
        <f>SUM(P25:P31)</f>
        <v>16400.78</v>
      </c>
      <c r="Q32" s="756"/>
      <c r="R32" s="757"/>
      <c r="S32" s="758"/>
    </row>
    <row r="33" spans="1:10">
      <c r="A33" s="83"/>
      <c r="B33" s="83"/>
      <c r="C33" s="83"/>
      <c r="D33" s="83"/>
      <c r="E33" s="83"/>
      <c r="F33" s="83"/>
      <c r="G33" s="83"/>
      <c r="H33" s="83"/>
      <c r="I33" s="83"/>
      <c r="J33" s="83"/>
    </row>
    <row r="34" spans="1:10">
      <c r="A34" s="83"/>
      <c r="B34" s="83"/>
      <c r="C34" s="83"/>
      <c r="D34" s="83"/>
      <c r="E34" s="83"/>
      <c r="F34" s="83"/>
      <c r="G34" s="83"/>
      <c r="H34" s="83"/>
      <c r="I34" s="83"/>
      <c r="J34" s="83"/>
    </row>
    <row r="35" spans="1:10">
      <c r="A35" s="83"/>
      <c r="B35" s="83"/>
      <c r="C35" s="83"/>
      <c r="D35" s="83"/>
      <c r="E35" s="83"/>
      <c r="F35" s="83"/>
      <c r="G35" s="83"/>
      <c r="H35" s="83"/>
      <c r="I35" s="83"/>
      <c r="J35" s="83"/>
    </row>
    <row r="36" spans="1:10">
      <c r="A36" s="83"/>
      <c r="B36" s="83"/>
      <c r="C36" s="83"/>
      <c r="D36" s="83"/>
      <c r="E36" s="83"/>
      <c r="F36" s="83"/>
      <c r="G36" s="83"/>
      <c r="H36" s="83"/>
      <c r="I36" s="83"/>
      <c r="J36" s="83"/>
    </row>
    <row r="37" spans="1:10">
      <c r="A37" s="83"/>
      <c r="B37" s="83"/>
      <c r="C37" s="83"/>
      <c r="D37" s="83"/>
      <c r="E37" s="83"/>
      <c r="F37" s="83"/>
      <c r="G37" s="83"/>
      <c r="H37" s="83"/>
      <c r="I37" s="83"/>
      <c r="J37" s="83"/>
    </row>
  </sheetData>
  <mergeCells count="45">
    <mergeCell ref="D20:E20"/>
    <mergeCell ref="D13:D14"/>
    <mergeCell ref="I13:J13"/>
    <mergeCell ref="C21:C30"/>
    <mergeCell ref="D21:D23"/>
    <mergeCell ref="D30:E30"/>
    <mergeCell ref="G26:J26"/>
    <mergeCell ref="G27:J27"/>
    <mergeCell ref="Q15:S15"/>
    <mergeCell ref="Q32:S32"/>
    <mergeCell ref="Q26:S26"/>
    <mergeCell ref="Q28:S28"/>
    <mergeCell ref="Q29:S29"/>
    <mergeCell ref="Q31:S31"/>
    <mergeCell ref="Q16:S16"/>
    <mergeCell ref="Q17:S17"/>
    <mergeCell ref="Q18:S18"/>
    <mergeCell ref="Q19:S19"/>
    <mergeCell ref="Q20:S20"/>
    <mergeCell ref="Q21:S21"/>
    <mergeCell ref="Q22:S22"/>
    <mergeCell ref="Q25:S25"/>
    <mergeCell ref="Q23:S23"/>
    <mergeCell ref="Q24:S24"/>
    <mergeCell ref="B3:E3"/>
    <mergeCell ref="K3:S3"/>
    <mergeCell ref="B4:C5"/>
    <mergeCell ref="R4:S4"/>
    <mergeCell ref="R5:S5"/>
    <mergeCell ref="Q8:S8"/>
    <mergeCell ref="I14:J14"/>
    <mergeCell ref="Q13:S13"/>
    <mergeCell ref="Q14:S14"/>
    <mergeCell ref="B6:B30"/>
    <mergeCell ref="C6:C20"/>
    <mergeCell ref="G10:J10"/>
    <mergeCell ref="G11:J11"/>
    <mergeCell ref="R6:S6"/>
    <mergeCell ref="Q9:S9"/>
    <mergeCell ref="D15:D17"/>
    <mergeCell ref="Q10:S10"/>
    <mergeCell ref="Q11:S11"/>
    <mergeCell ref="Q12:S12"/>
    <mergeCell ref="K7:K32"/>
    <mergeCell ref="Q7:S7"/>
  </mergeCells>
  <phoneticPr fontId="4"/>
  <conditionalFormatting sqref="F6">
    <cfRule type="cellIs" dxfId="5" priority="3" operator="equal">
      <formula>0</formula>
    </cfRule>
  </conditionalFormatting>
  <conditionalFormatting sqref="F18">
    <cfRule type="cellIs" dxfId="4" priority="2" operator="equal">
      <formula>0</formula>
    </cfRule>
  </conditionalFormatting>
  <conditionalFormatting sqref="F24:F25">
    <cfRule type="cellIs" dxfId="3" priority="1" operator="equal">
      <formula>0</formula>
    </cfRule>
  </conditionalFormatting>
  <pageMargins left="0.7" right="0.7" top="0.75" bottom="0.75" header="0.3" footer="0.3"/>
  <pageSetup paperSize="9"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75" zoomScaleNormal="75" zoomScaleSheetLayoutView="75" workbookViewId="0"/>
  </sheetViews>
  <sheetFormatPr defaultRowHeight="13.5"/>
  <cols>
    <col min="1" max="1" width="3.625" customWidth="1"/>
    <col min="5" max="7" width="15.625" customWidth="1"/>
  </cols>
  <sheetData>
    <row r="1" spans="1:19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ht="24.95" customHeight="1" thickBot="1">
      <c r="A2" s="84"/>
      <c r="B2" s="1" t="s">
        <v>598</v>
      </c>
      <c r="C2" s="84"/>
      <c r="D2" s="84"/>
      <c r="E2" s="84"/>
      <c r="F2" s="84"/>
      <c r="G2" s="84"/>
      <c r="H2" s="85" t="s">
        <v>188</v>
      </c>
      <c r="I2" s="1" t="s">
        <v>462</v>
      </c>
      <c r="J2" s="84"/>
      <c r="K2" s="85" t="s">
        <v>189</v>
      </c>
      <c r="L2" s="1" t="s">
        <v>294</v>
      </c>
      <c r="M2" s="84"/>
      <c r="N2" s="83"/>
      <c r="O2" s="83"/>
      <c r="P2" s="84"/>
      <c r="Q2" s="2"/>
      <c r="R2" s="2"/>
      <c r="S2" s="84"/>
    </row>
    <row r="3" spans="1:19" ht="18" customHeight="1">
      <c r="A3" s="84"/>
      <c r="B3" s="784" t="s">
        <v>17</v>
      </c>
      <c r="C3" s="785"/>
      <c r="D3" s="785"/>
      <c r="E3" s="786"/>
      <c r="F3" s="396" t="s">
        <v>18</v>
      </c>
      <c r="G3" s="87"/>
      <c r="H3" s="88" t="s">
        <v>19</v>
      </c>
      <c r="I3" s="86"/>
      <c r="J3" s="86"/>
      <c r="K3" s="787" t="s">
        <v>160</v>
      </c>
      <c r="L3" s="788"/>
      <c r="M3" s="788"/>
      <c r="N3" s="788"/>
      <c r="O3" s="788"/>
      <c r="P3" s="788"/>
      <c r="Q3" s="788"/>
      <c r="R3" s="788"/>
      <c r="S3" s="789"/>
    </row>
    <row r="4" spans="1:19" ht="18" customHeight="1">
      <c r="A4" s="84"/>
      <c r="B4" s="782" t="s">
        <v>20</v>
      </c>
      <c r="C4" s="783"/>
      <c r="D4" s="175" t="s">
        <v>155</v>
      </c>
      <c r="E4" s="183"/>
      <c r="F4" s="182">
        <f>+N5</f>
        <v>1177200</v>
      </c>
      <c r="G4" s="175" t="s">
        <v>146</v>
      </c>
      <c r="H4" s="386"/>
      <c r="I4" s="386"/>
      <c r="J4" s="386"/>
      <c r="K4" s="260" t="s">
        <v>201</v>
      </c>
      <c r="L4" s="261" t="s">
        <v>202</v>
      </c>
      <c r="M4" s="384" t="s">
        <v>21</v>
      </c>
      <c r="N4" s="384" t="s">
        <v>20</v>
      </c>
      <c r="O4" s="261" t="s">
        <v>201</v>
      </c>
      <c r="P4" s="261" t="s">
        <v>202</v>
      </c>
      <c r="Q4" s="384" t="s">
        <v>21</v>
      </c>
      <c r="R4" s="790" t="s">
        <v>20</v>
      </c>
      <c r="S4" s="791"/>
    </row>
    <row r="5" spans="1:19" ht="18" customHeight="1">
      <c r="A5" s="84"/>
      <c r="B5" s="782"/>
      <c r="C5" s="783"/>
      <c r="D5" s="175" t="s">
        <v>70</v>
      </c>
      <c r="E5" s="183"/>
      <c r="F5" s="182"/>
      <c r="G5" s="151"/>
      <c r="H5" s="184"/>
      <c r="I5" s="184"/>
      <c r="J5" s="184"/>
      <c r="K5" s="259">
        <v>9</v>
      </c>
      <c r="L5" s="182">
        <f>+'4.経営収支(法人様式）'!J5</f>
        <v>3600</v>
      </c>
      <c r="M5" s="182">
        <f>'９-4あきづき単価'!O20</f>
        <v>327</v>
      </c>
      <c r="N5" s="182">
        <f t="shared" ref="N5:N6" si="0">L5*M5</f>
        <v>1177200</v>
      </c>
      <c r="O5" s="182"/>
      <c r="P5" s="182"/>
      <c r="Q5" s="182"/>
      <c r="R5" s="792">
        <f>P5*Q5</f>
        <v>0</v>
      </c>
      <c r="S5" s="793"/>
    </row>
    <row r="6" spans="1:19" ht="18" customHeight="1" thickBot="1">
      <c r="A6" s="84"/>
      <c r="B6" s="769" t="s">
        <v>158</v>
      </c>
      <c r="C6" s="772" t="s">
        <v>214</v>
      </c>
      <c r="D6" s="182" t="s">
        <v>44</v>
      </c>
      <c r="E6" s="185"/>
      <c r="F6" s="182">
        <f>+'７-３豊水収支'!F6</f>
        <v>0</v>
      </c>
      <c r="G6" s="151" t="s">
        <v>147</v>
      </c>
      <c r="H6" s="184"/>
      <c r="I6" s="184"/>
      <c r="J6" s="184"/>
      <c r="K6" s="510"/>
      <c r="L6" s="90"/>
      <c r="M6" s="90"/>
      <c r="N6" s="89">
        <f t="shared" si="0"/>
        <v>0</v>
      </c>
      <c r="O6" s="91" t="s">
        <v>22</v>
      </c>
      <c r="P6" s="92">
        <f>SUM(L5:L6,P5:Q5)</f>
        <v>3600</v>
      </c>
      <c r="Q6" s="93">
        <f>R6/P6</f>
        <v>327</v>
      </c>
      <c r="R6" s="794">
        <f>SUM(N5:N6,R5:S5)</f>
        <v>1177200</v>
      </c>
      <c r="S6" s="795"/>
    </row>
    <row r="7" spans="1:19" ht="18" customHeight="1" thickTop="1">
      <c r="A7" s="84"/>
      <c r="B7" s="770"/>
      <c r="C7" s="773"/>
      <c r="D7" s="182" t="s">
        <v>45</v>
      </c>
      <c r="E7" s="185"/>
      <c r="F7" s="182">
        <f>+'７-３豊水収支'!F7</f>
        <v>38752</v>
      </c>
      <c r="G7" s="175" t="s">
        <v>587</v>
      </c>
      <c r="H7" s="386"/>
      <c r="I7" s="386"/>
      <c r="J7" s="387"/>
      <c r="K7" s="809" t="s">
        <v>159</v>
      </c>
      <c r="L7" s="177" t="s">
        <v>121</v>
      </c>
      <c r="M7" s="392" t="s">
        <v>7</v>
      </c>
      <c r="N7" s="266" t="s">
        <v>206</v>
      </c>
      <c r="O7" s="391" t="s">
        <v>21</v>
      </c>
      <c r="P7" s="391" t="s">
        <v>24</v>
      </c>
      <c r="Q7" s="796" t="s">
        <v>25</v>
      </c>
      <c r="R7" s="797"/>
      <c r="S7" s="798"/>
    </row>
    <row r="8" spans="1:19" ht="18" customHeight="1">
      <c r="A8" s="84"/>
      <c r="B8" s="770"/>
      <c r="C8" s="773"/>
      <c r="D8" s="182" t="s">
        <v>46</v>
      </c>
      <c r="E8" s="185"/>
      <c r="F8" s="182">
        <f>+'７-３豊水収支'!F8</f>
        <v>58858.85</v>
      </c>
      <c r="G8" s="153" t="s">
        <v>588</v>
      </c>
      <c r="H8" s="164"/>
      <c r="I8" s="164"/>
      <c r="J8" s="187"/>
      <c r="K8" s="810"/>
      <c r="L8" s="393"/>
      <c r="M8" s="265" t="s">
        <v>207</v>
      </c>
      <c r="N8" s="116"/>
      <c r="O8" s="116"/>
      <c r="P8" s="116">
        <f>N8*O8</f>
        <v>0</v>
      </c>
      <c r="Q8" s="801"/>
      <c r="R8" s="802"/>
      <c r="S8" s="803"/>
    </row>
    <row r="9" spans="1:19" ht="18" customHeight="1">
      <c r="A9" s="84"/>
      <c r="B9" s="770"/>
      <c r="C9" s="773"/>
      <c r="D9" s="182" t="s">
        <v>71</v>
      </c>
      <c r="E9" s="185"/>
      <c r="F9" s="182">
        <f>+'７-３豊水収支'!F9</f>
        <v>16400.78</v>
      </c>
      <c r="G9" s="153" t="s">
        <v>589</v>
      </c>
      <c r="H9" s="164"/>
      <c r="I9" s="164"/>
      <c r="J9" s="187"/>
      <c r="K9" s="810"/>
      <c r="L9" s="383"/>
      <c r="M9" s="176"/>
      <c r="N9" s="116"/>
      <c r="O9" s="116"/>
      <c r="P9" s="116">
        <f>N9*O9</f>
        <v>0</v>
      </c>
      <c r="Q9" s="801"/>
      <c r="R9" s="802"/>
      <c r="S9" s="803"/>
    </row>
    <row r="10" spans="1:19" ht="18" customHeight="1" thickBot="1">
      <c r="A10" s="84"/>
      <c r="B10" s="770"/>
      <c r="C10" s="773"/>
      <c r="D10" s="182" t="s">
        <v>47</v>
      </c>
      <c r="E10" s="185"/>
      <c r="F10" s="182">
        <f>+'７-３豊水収支'!F10</f>
        <v>25839</v>
      </c>
      <c r="G10" s="799"/>
      <c r="H10" s="800"/>
      <c r="I10" s="800"/>
      <c r="J10" s="793"/>
      <c r="K10" s="810"/>
      <c r="L10" s="97" t="s">
        <v>26</v>
      </c>
      <c r="M10" s="96"/>
      <c r="N10" s="97"/>
      <c r="O10" s="97"/>
      <c r="P10" s="97">
        <f>SUM(P6:P9)</f>
        <v>3600</v>
      </c>
      <c r="Q10" s="759"/>
      <c r="R10" s="760"/>
      <c r="S10" s="761"/>
    </row>
    <row r="11" spans="1:19" ht="18" customHeight="1" thickTop="1">
      <c r="A11" s="84"/>
      <c r="B11" s="770"/>
      <c r="C11" s="773"/>
      <c r="D11" s="182" t="s">
        <v>4</v>
      </c>
      <c r="E11" s="185"/>
      <c r="F11" s="182">
        <f>+'７-３豊水収支'!F11</f>
        <v>2230</v>
      </c>
      <c r="G11" s="799"/>
      <c r="H11" s="800"/>
      <c r="I11" s="800"/>
      <c r="J11" s="793"/>
      <c r="K11" s="810"/>
      <c r="L11" s="171" t="s">
        <v>122</v>
      </c>
      <c r="M11" s="172"/>
      <c r="N11" s="267" t="s">
        <v>206</v>
      </c>
      <c r="O11" s="388" t="s">
        <v>21</v>
      </c>
      <c r="P11" s="174" t="s">
        <v>24</v>
      </c>
      <c r="Q11" s="806" t="s">
        <v>25</v>
      </c>
      <c r="R11" s="807"/>
      <c r="S11" s="808"/>
    </row>
    <row r="12" spans="1:19" ht="18" customHeight="1">
      <c r="A12" s="84"/>
      <c r="B12" s="770"/>
      <c r="C12" s="773"/>
      <c r="D12" s="182" t="s">
        <v>5</v>
      </c>
      <c r="E12" s="185"/>
      <c r="F12" s="182">
        <f>+'７-３豊水収支'!F12</f>
        <v>3000</v>
      </c>
      <c r="G12" s="153" t="s">
        <v>461</v>
      </c>
      <c r="H12" s="164"/>
      <c r="I12" s="164"/>
      <c r="J12" s="187"/>
      <c r="K12" s="810"/>
      <c r="L12" s="175" t="s">
        <v>456</v>
      </c>
      <c r="M12" s="176"/>
      <c r="N12" s="153"/>
      <c r="O12" s="168"/>
      <c r="P12" s="166">
        <f>+'７-３豊水収支'!P12</f>
        <v>10000</v>
      </c>
      <c r="Q12" s="753"/>
      <c r="R12" s="754"/>
      <c r="S12" s="755"/>
    </row>
    <row r="13" spans="1:19" ht="18" customHeight="1">
      <c r="A13" s="84"/>
      <c r="B13" s="770"/>
      <c r="C13" s="773"/>
      <c r="D13" s="778" t="s">
        <v>48</v>
      </c>
      <c r="E13" s="188" t="s">
        <v>144</v>
      </c>
      <c r="F13" s="182">
        <f>H13*'６　固定資本装備と減価償却費'!L11</f>
        <v>8968</v>
      </c>
      <c r="G13" s="153" t="s">
        <v>148</v>
      </c>
      <c r="H13" s="528">
        <v>0.01</v>
      </c>
      <c r="I13" s="804" t="s">
        <v>150</v>
      </c>
      <c r="J13" s="805"/>
      <c r="K13" s="810"/>
      <c r="L13" s="175" t="s">
        <v>126</v>
      </c>
      <c r="M13" s="176"/>
      <c r="N13" s="153"/>
      <c r="O13" s="168"/>
      <c r="P13" s="166">
        <f>+'７-３豊水収支'!P13</f>
        <v>1382</v>
      </c>
      <c r="Q13" s="753"/>
      <c r="R13" s="754"/>
      <c r="S13" s="755"/>
    </row>
    <row r="14" spans="1:19" ht="18" customHeight="1">
      <c r="A14" s="84"/>
      <c r="B14" s="770"/>
      <c r="C14" s="773"/>
      <c r="D14" s="779"/>
      <c r="E14" s="188" t="s">
        <v>145</v>
      </c>
      <c r="F14" s="182">
        <f>H14*'６　固定資本装備と減価償却費'!L24</f>
        <v>16952.900000000001</v>
      </c>
      <c r="G14" s="153" t="s">
        <v>148</v>
      </c>
      <c r="H14" s="528">
        <v>0.05</v>
      </c>
      <c r="I14" s="804" t="s">
        <v>150</v>
      </c>
      <c r="J14" s="805"/>
      <c r="K14" s="810"/>
      <c r="L14" s="153" t="s">
        <v>127</v>
      </c>
      <c r="M14" s="164"/>
      <c r="N14" s="153"/>
      <c r="O14" s="168"/>
      <c r="P14" s="166">
        <f>+'７-３豊水収支'!P14</f>
        <v>27370</v>
      </c>
      <c r="Q14" s="753"/>
      <c r="R14" s="754"/>
      <c r="S14" s="755"/>
    </row>
    <row r="15" spans="1:19" ht="18" customHeight="1">
      <c r="A15" s="84"/>
      <c r="B15" s="770"/>
      <c r="C15" s="773"/>
      <c r="D15" s="778" t="s">
        <v>72</v>
      </c>
      <c r="E15" s="188" t="s">
        <v>144</v>
      </c>
      <c r="F15" s="182">
        <f>'６　固定資本装備と減価償却費'!P11</f>
        <v>82779.047619047618</v>
      </c>
      <c r="G15" s="153" t="s">
        <v>150</v>
      </c>
      <c r="H15" s="159"/>
      <c r="I15" s="159"/>
      <c r="J15" s="160"/>
      <c r="K15" s="810"/>
      <c r="L15" s="153" t="s">
        <v>129</v>
      </c>
      <c r="M15" s="164"/>
      <c r="N15" s="153"/>
      <c r="O15" s="168"/>
      <c r="P15" s="166">
        <f>+'７-３豊水収支'!P15</f>
        <v>0</v>
      </c>
      <c r="Q15" s="753"/>
      <c r="R15" s="754"/>
      <c r="S15" s="755"/>
    </row>
    <row r="16" spans="1:19" ht="18" customHeight="1">
      <c r="A16" s="84"/>
      <c r="B16" s="770"/>
      <c r="C16" s="773"/>
      <c r="D16" s="780"/>
      <c r="E16" s="188" t="s">
        <v>145</v>
      </c>
      <c r="F16" s="182">
        <f>'６　固定資本装備と減価償却費'!P24</f>
        <v>53209.000000000007</v>
      </c>
      <c r="G16" s="153" t="s">
        <v>150</v>
      </c>
      <c r="H16" s="159"/>
      <c r="I16" s="159"/>
      <c r="J16" s="160"/>
      <c r="K16" s="810"/>
      <c r="L16" s="153" t="s">
        <v>130</v>
      </c>
      <c r="M16" s="164"/>
      <c r="N16" s="153"/>
      <c r="O16" s="166"/>
      <c r="P16" s="166">
        <f>+'７-３豊水収支'!P16</f>
        <v>0</v>
      </c>
      <c r="Q16" s="753"/>
      <c r="R16" s="754"/>
      <c r="S16" s="755"/>
    </row>
    <row r="17" spans="1:19" ht="18" customHeight="1" thickBot="1">
      <c r="A17" s="84"/>
      <c r="B17" s="770"/>
      <c r="C17" s="773"/>
      <c r="D17" s="779"/>
      <c r="E17" s="182" t="s">
        <v>49</v>
      </c>
      <c r="F17" s="182">
        <f>'６　固定資本装備と減価償却費'!P28</f>
        <v>5846.1538461538457</v>
      </c>
      <c r="G17" s="153" t="s">
        <v>150</v>
      </c>
      <c r="H17" s="159"/>
      <c r="I17" s="159"/>
      <c r="J17" s="160"/>
      <c r="K17" s="810"/>
      <c r="L17" s="97" t="s">
        <v>26</v>
      </c>
      <c r="M17" s="96"/>
      <c r="N17" s="97"/>
      <c r="O17" s="97"/>
      <c r="P17" s="97">
        <f>SUM(P12:P16)</f>
        <v>38752</v>
      </c>
      <c r="Q17" s="759"/>
      <c r="R17" s="760"/>
      <c r="S17" s="761"/>
    </row>
    <row r="18" spans="1:19" ht="18" customHeight="1" thickTop="1">
      <c r="A18" s="83"/>
      <c r="B18" s="770"/>
      <c r="C18" s="773"/>
      <c r="D18" s="182" t="s">
        <v>50</v>
      </c>
      <c r="E18" s="185"/>
      <c r="F18" s="182">
        <f>+'７-３豊水収支'!F18</f>
        <v>0</v>
      </c>
      <c r="G18" s="153"/>
      <c r="H18" s="164"/>
      <c r="I18" s="511"/>
      <c r="J18" s="187"/>
      <c r="K18" s="810"/>
      <c r="L18" s="153" t="s">
        <v>123</v>
      </c>
      <c r="M18" s="164"/>
      <c r="N18" s="165" t="s">
        <v>23</v>
      </c>
      <c r="O18" s="165" t="s">
        <v>21</v>
      </c>
      <c r="P18" s="165" t="s">
        <v>24</v>
      </c>
      <c r="Q18" s="806" t="s">
        <v>25</v>
      </c>
      <c r="R18" s="807"/>
      <c r="S18" s="808"/>
    </row>
    <row r="19" spans="1:19" ht="18" customHeight="1">
      <c r="A19" s="83"/>
      <c r="B19" s="770"/>
      <c r="C19" s="773"/>
      <c r="D19" s="182" t="s">
        <v>125</v>
      </c>
      <c r="E19" s="185"/>
      <c r="F19" s="182">
        <f>+'７-３豊水収支'!F19</f>
        <v>3174.7198982498981</v>
      </c>
      <c r="G19" s="189" t="s">
        <v>161</v>
      </c>
      <c r="H19" s="199">
        <v>0.01</v>
      </c>
      <c r="I19" s="389"/>
      <c r="J19" s="4"/>
      <c r="K19" s="810"/>
      <c r="L19" s="166" t="s">
        <v>27</v>
      </c>
      <c r="M19" s="164"/>
      <c r="N19" s="153" t="s">
        <v>457</v>
      </c>
      <c r="O19" s="166"/>
      <c r="P19" s="166">
        <f>+'７-３豊水収支'!P19</f>
        <v>32200.066666666666</v>
      </c>
      <c r="Q19" s="753"/>
      <c r="R19" s="754"/>
      <c r="S19" s="755"/>
    </row>
    <row r="20" spans="1:19" ht="18" customHeight="1">
      <c r="A20" s="83"/>
      <c r="B20" s="770"/>
      <c r="C20" s="774"/>
      <c r="D20" s="767" t="s">
        <v>154</v>
      </c>
      <c r="E20" s="768"/>
      <c r="F20" s="114">
        <f>SUM(F6:F19)</f>
        <v>316010.45136345137</v>
      </c>
      <c r="G20" s="161"/>
      <c r="H20" s="389"/>
      <c r="I20" s="389"/>
      <c r="J20" s="390"/>
      <c r="K20" s="810"/>
      <c r="L20" s="166" t="s">
        <v>28</v>
      </c>
      <c r="M20" s="164"/>
      <c r="N20" s="153" t="s">
        <v>563</v>
      </c>
      <c r="O20" s="166"/>
      <c r="P20" s="166">
        <f>+'７-３豊水収支'!P20</f>
        <v>20797.783333333333</v>
      </c>
      <c r="Q20" s="753"/>
      <c r="R20" s="754"/>
      <c r="S20" s="755"/>
    </row>
    <row r="21" spans="1:19" ht="18" customHeight="1">
      <c r="A21" s="83"/>
      <c r="B21" s="770"/>
      <c r="C21" s="775" t="s">
        <v>149</v>
      </c>
      <c r="D21" s="781" t="s">
        <v>51</v>
      </c>
      <c r="E21" s="14" t="s">
        <v>1</v>
      </c>
      <c r="F21" s="89">
        <f>+L5*24.47</f>
        <v>88092</v>
      </c>
      <c r="G21" s="530" t="s">
        <v>580</v>
      </c>
      <c r="H21" s="164"/>
      <c r="I21" s="94"/>
      <c r="J21" s="187"/>
      <c r="K21" s="810"/>
      <c r="L21" s="166" t="s">
        <v>29</v>
      </c>
      <c r="M21" s="164"/>
      <c r="N21" s="153" t="s">
        <v>459</v>
      </c>
      <c r="O21" s="166"/>
      <c r="P21" s="166">
        <f>+'７-３豊水収支'!P21</f>
        <v>5861</v>
      </c>
      <c r="Q21" s="753"/>
      <c r="R21" s="754"/>
      <c r="S21" s="755"/>
    </row>
    <row r="22" spans="1:19" ht="18" customHeight="1">
      <c r="A22" s="83"/>
      <c r="B22" s="770"/>
      <c r="C22" s="776"/>
      <c r="D22" s="726"/>
      <c r="E22" s="14" t="s">
        <v>2</v>
      </c>
      <c r="F22" s="115">
        <f>+L5*2/3*7.7</f>
        <v>18480</v>
      </c>
      <c r="G22" s="381" t="s">
        <v>581</v>
      </c>
      <c r="H22" s="190"/>
      <c r="I22" s="190"/>
      <c r="J22" s="191"/>
      <c r="K22" s="810"/>
      <c r="L22" s="166"/>
      <c r="M22" s="164"/>
      <c r="N22" s="153"/>
      <c r="O22" s="166"/>
      <c r="P22" s="166"/>
      <c r="Q22" s="753"/>
      <c r="R22" s="754"/>
      <c r="S22" s="755"/>
    </row>
    <row r="23" spans="1:19" ht="18" customHeight="1" thickBot="1">
      <c r="A23" s="83"/>
      <c r="B23" s="770"/>
      <c r="C23" s="776"/>
      <c r="D23" s="724"/>
      <c r="E23" s="14" t="s">
        <v>6</v>
      </c>
      <c r="F23" s="89">
        <f>+L5*0.11*0.666666666666667*単価基礎!R16</f>
        <v>66880.000000000029</v>
      </c>
      <c r="G23" s="381" t="s">
        <v>460</v>
      </c>
      <c r="H23" s="386"/>
      <c r="I23" s="190"/>
      <c r="J23" s="387"/>
      <c r="K23" s="810"/>
      <c r="L23" s="97" t="s">
        <v>26</v>
      </c>
      <c r="M23" s="96"/>
      <c r="N23" s="97"/>
      <c r="O23" s="97"/>
      <c r="P23" s="97">
        <f>SUM(P19:P22)</f>
        <v>58858.85</v>
      </c>
      <c r="Q23" s="759"/>
      <c r="R23" s="760"/>
      <c r="S23" s="761"/>
    </row>
    <row r="24" spans="1:19" ht="18" customHeight="1" thickTop="1">
      <c r="A24" s="83"/>
      <c r="B24" s="770"/>
      <c r="C24" s="776"/>
      <c r="D24" s="14" t="s">
        <v>210</v>
      </c>
      <c r="E24" s="19"/>
      <c r="F24" s="115">
        <f>+'７-３豊水収支'!F24</f>
        <v>0</v>
      </c>
      <c r="G24" s="175"/>
      <c r="H24" s="193"/>
      <c r="I24" s="194"/>
      <c r="J24" s="192"/>
      <c r="K24" s="810"/>
      <c r="L24" s="153" t="s">
        <v>124</v>
      </c>
      <c r="M24" s="164"/>
      <c r="N24" s="165" t="s">
        <v>23</v>
      </c>
      <c r="O24" s="165" t="s">
        <v>21</v>
      </c>
      <c r="P24" s="165" t="s">
        <v>24</v>
      </c>
      <c r="Q24" s="806" t="s">
        <v>25</v>
      </c>
      <c r="R24" s="807"/>
      <c r="S24" s="808"/>
    </row>
    <row r="25" spans="1:19" ht="18" customHeight="1">
      <c r="A25" s="83"/>
      <c r="B25" s="770"/>
      <c r="C25" s="776"/>
      <c r="D25" s="14" t="s">
        <v>73</v>
      </c>
      <c r="E25" s="19"/>
      <c r="F25" s="115">
        <f>+'７-３豊水収支'!F25</f>
        <v>0</v>
      </c>
      <c r="G25" s="175"/>
      <c r="H25" s="195"/>
      <c r="I25" s="196"/>
      <c r="J25" s="197"/>
      <c r="K25" s="810"/>
      <c r="L25" s="166" t="s">
        <v>114</v>
      </c>
      <c r="M25" s="167"/>
      <c r="N25" s="153" t="s">
        <v>572</v>
      </c>
      <c r="O25" s="168"/>
      <c r="P25" s="166">
        <f>+'７-３豊水収支'!P25</f>
        <v>8557.4</v>
      </c>
      <c r="Q25" s="762"/>
      <c r="R25" s="763"/>
      <c r="S25" s="764"/>
    </row>
    <row r="26" spans="1:19" ht="18" customHeight="1">
      <c r="A26" s="83"/>
      <c r="B26" s="770"/>
      <c r="C26" s="776"/>
      <c r="D26" s="14" t="s">
        <v>96</v>
      </c>
      <c r="E26" s="15"/>
      <c r="F26" s="115">
        <f>+'７-３豊水収支'!F26</f>
        <v>8177.9750000000004</v>
      </c>
      <c r="G26" s="799"/>
      <c r="H26" s="800"/>
      <c r="I26" s="800"/>
      <c r="J26" s="793"/>
      <c r="K26" s="810"/>
      <c r="L26" s="166" t="s">
        <v>115</v>
      </c>
      <c r="M26" s="167"/>
      <c r="N26" s="153" t="s">
        <v>565</v>
      </c>
      <c r="O26" s="168"/>
      <c r="P26" s="166">
        <f>+'７-３豊水収支'!P26</f>
        <v>1267.2</v>
      </c>
      <c r="Q26" s="762"/>
      <c r="R26" s="763"/>
      <c r="S26" s="764"/>
    </row>
    <row r="27" spans="1:19" ht="18" customHeight="1">
      <c r="A27" s="83"/>
      <c r="B27" s="770"/>
      <c r="C27" s="776"/>
      <c r="D27" s="20" t="s">
        <v>74</v>
      </c>
      <c r="E27" s="21"/>
      <c r="F27" s="115">
        <f>+'７-３豊水収支'!F27</f>
        <v>14285.714285714286</v>
      </c>
      <c r="G27" s="812" t="s">
        <v>579</v>
      </c>
      <c r="H27" s="813"/>
      <c r="I27" s="813"/>
      <c r="J27" s="814"/>
      <c r="K27" s="810"/>
      <c r="L27" s="166" t="s">
        <v>117</v>
      </c>
      <c r="M27" s="164"/>
      <c r="N27" s="168"/>
      <c r="O27" s="168"/>
      <c r="P27" s="166">
        <f>+'７-３豊水収支'!P27</f>
        <v>2947.38</v>
      </c>
      <c r="Q27" s="385" t="s">
        <v>116</v>
      </c>
      <c r="R27" s="170">
        <v>0.2</v>
      </c>
      <c r="S27" s="100"/>
    </row>
    <row r="28" spans="1:19" ht="18" customHeight="1">
      <c r="A28" s="83"/>
      <c r="B28" s="770"/>
      <c r="C28" s="776"/>
      <c r="D28" s="14" t="s">
        <v>52</v>
      </c>
      <c r="E28" s="15"/>
      <c r="F28" s="115">
        <f>+'７-３豊水収支'!F28</f>
        <v>4128.2</v>
      </c>
      <c r="G28" s="799"/>
      <c r="H28" s="800"/>
      <c r="I28" s="800"/>
      <c r="J28" s="793"/>
      <c r="K28" s="810"/>
      <c r="L28" s="166" t="s">
        <v>118</v>
      </c>
      <c r="M28" s="167"/>
      <c r="N28" s="153"/>
      <c r="O28" s="168"/>
      <c r="P28" s="166">
        <f>+'７-３豊水収支'!P28</f>
        <v>0</v>
      </c>
      <c r="Q28" s="753"/>
      <c r="R28" s="754"/>
      <c r="S28" s="755"/>
    </row>
    <row r="29" spans="1:19" ht="18" customHeight="1">
      <c r="A29" s="83"/>
      <c r="B29" s="770"/>
      <c r="C29" s="776"/>
      <c r="D29" s="14" t="s">
        <v>211</v>
      </c>
      <c r="E29" s="19"/>
      <c r="F29" s="115">
        <f>+'７-３豊水収支'!F29</f>
        <v>2015.4524716153462</v>
      </c>
      <c r="G29" s="529" t="s">
        <v>578</v>
      </c>
      <c r="H29" s="199">
        <v>0.01</v>
      </c>
      <c r="I29" s="163"/>
      <c r="J29" s="162"/>
      <c r="K29" s="810"/>
      <c r="L29" s="166" t="s">
        <v>119</v>
      </c>
      <c r="M29" s="167"/>
      <c r="N29" s="153"/>
      <c r="O29" s="168"/>
      <c r="P29" s="166">
        <f>+'７-３豊水収支'!P29</f>
        <v>0</v>
      </c>
      <c r="Q29" s="753"/>
      <c r="R29" s="754"/>
      <c r="S29" s="755"/>
    </row>
    <row r="30" spans="1:19" ht="18" customHeight="1" thickBot="1">
      <c r="A30" s="83"/>
      <c r="B30" s="771"/>
      <c r="C30" s="777"/>
      <c r="D30" s="765" t="s">
        <v>153</v>
      </c>
      <c r="E30" s="766"/>
      <c r="F30" s="154">
        <f>SUM(F21:F29)</f>
        <v>202059.34175732968</v>
      </c>
      <c r="G30" s="155"/>
      <c r="H30" s="156"/>
      <c r="I30" s="157"/>
      <c r="J30" s="158"/>
      <c r="K30" s="810"/>
      <c r="L30" s="166" t="s">
        <v>208</v>
      </c>
      <c r="M30" s="167"/>
      <c r="N30" s="153"/>
      <c r="O30" s="168"/>
      <c r="P30" s="166">
        <f>+'７-３豊水収支'!P30</f>
        <v>0</v>
      </c>
      <c r="Q30" s="271"/>
      <c r="R30" s="272"/>
      <c r="S30" s="273"/>
    </row>
    <row r="31" spans="1:19" ht="18" customHeight="1">
      <c r="A31" s="83"/>
      <c r="B31" s="104"/>
      <c r="C31" s="103"/>
      <c r="D31" s="103"/>
      <c r="E31" s="103"/>
      <c r="F31" s="103"/>
      <c r="G31" s="103"/>
      <c r="H31" s="103"/>
      <c r="I31" s="103"/>
      <c r="J31" s="103"/>
      <c r="K31" s="810"/>
      <c r="L31" s="166" t="s">
        <v>120</v>
      </c>
      <c r="M31" s="164"/>
      <c r="N31" s="153" t="s">
        <v>566</v>
      </c>
      <c r="O31" s="168"/>
      <c r="P31" s="166">
        <f>+'７-３豊水収支'!P31</f>
        <v>3628.8</v>
      </c>
      <c r="Q31" s="753"/>
      <c r="R31" s="754"/>
      <c r="S31" s="755"/>
    </row>
    <row r="32" spans="1:19" ht="18" customHeight="1" thickBot="1">
      <c r="A32" s="83"/>
      <c r="B32" s="95"/>
      <c r="C32" s="110"/>
      <c r="D32" s="95"/>
      <c r="E32" s="95"/>
      <c r="F32" s="108"/>
      <c r="G32" s="108"/>
      <c r="H32" s="109"/>
      <c r="I32" s="103"/>
      <c r="J32" s="103"/>
      <c r="K32" s="811"/>
      <c r="L32" s="106" t="s">
        <v>26</v>
      </c>
      <c r="M32" s="105"/>
      <c r="N32" s="106"/>
      <c r="O32" s="106"/>
      <c r="P32" s="106">
        <f>SUM(P25:P31)</f>
        <v>16400.78</v>
      </c>
      <c r="Q32" s="756"/>
      <c r="R32" s="757"/>
      <c r="S32" s="758"/>
    </row>
    <row r="33" spans="1:10">
      <c r="A33" s="83"/>
      <c r="B33" s="83"/>
      <c r="C33" s="83"/>
      <c r="D33" s="83"/>
      <c r="E33" s="83"/>
      <c r="F33" s="83"/>
      <c r="G33" s="83"/>
      <c r="H33" s="83"/>
      <c r="I33" s="83"/>
      <c r="J33" s="83"/>
    </row>
    <row r="34" spans="1:10">
      <c r="A34" s="83"/>
      <c r="B34" s="83"/>
      <c r="C34" s="83"/>
      <c r="D34" s="83"/>
      <c r="E34" s="83"/>
      <c r="F34" s="83"/>
      <c r="G34" s="83"/>
      <c r="H34" s="83"/>
      <c r="I34" s="83"/>
      <c r="J34" s="83"/>
    </row>
    <row r="35" spans="1:10">
      <c r="A35" s="83"/>
      <c r="B35" s="83"/>
      <c r="C35" s="83"/>
      <c r="D35" s="83"/>
      <c r="E35" s="83"/>
      <c r="F35" s="83"/>
      <c r="G35" s="83"/>
      <c r="H35" s="83"/>
      <c r="I35" s="83"/>
      <c r="J35" s="83"/>
    </row>
    <row r="36" spans="1:10">
      <c r="A36" s="83"/>
      <c r="B36" s="83"/>
      <c r="C36" s="83"/>
      <c r="D36" s="83"/>
      <c r="E36" s="83"/>
      <c r="F36" s="83"/>
      <c r="G36" s="83"/>
      <c r="H36" s="83"/>
      <c r="I36" s="83"/>
      <c r="J36" s="83"/>
    </row>
    <row r="37" spans="1:10">
      <c r="A37" s="83"/>
      <c r="B37" s="83"/>
      <c r="C37" s="83"/>
      <c r="D37" s="83"/>
      <c r="E37" s="83"/>
      <c r="F37" s="83"/>
      <c r="G37" s="83"/>
      <c r="H37" s="83"/>
      <c r="I37" s="83"/>
      <c r="J37" s="83"/>
    </row>
  </sheetData>
  <mergeCells count="46">
    <mergeCell ref="G26:J26"/>
    <mergeCell ref="G28:J28"/>
    <mergeCell ref="Q32:S32"/>
    <mergeCell ref="Q25:S25"/>
    <mergeCell ref="Q26:S26"/>
    <mergeCell ref="Q28:S28"/>
    <mergeCell ref="Q29:S29"/>
    <mergeCell ref="Q31:S31"/>
    <mergeCell ref="G27:J27"/>
    <mergeCell ref="Q14:S14"/>
    <mergeCell ref="D20:E20"/>
    <mergeCell ref="Q15:S15"/>
    <mergeCell ref="Q17:S17"/>
    <mergeCell ref="Q18:S18"/>
    <mergeCell ref="K7:K32"/>
    <mergeCell ref="Q7:S7"/>
    <mergeCell ref="D13:D14"/>
    <mergeCell ref="I13:J13"/>
    <mergeCell ref="Q19:S19"/>
    <mergeCell ref="Q20:S20"/>
    <mergeCell ref="Q21:S21"/>
    <mergeCell ref="Q22:S22"/>
    <mergeCell ref="Q23:S23"/>
    <mergeCell ref="Q24:S24"/>
    <mergeCell ref="Q13:S13"/>
    <mergeCell ref="B6:B30"/>
    <mergeCell ref="C6:C20"/>
    <mergeCell ref="G10:J10"/>
    <mergeCell ref="G11:J11"/>
    <mergeCell ref="R6:S6"/>
    <mergeCell ref="D30:E30"/>
    <mergeCell ref="Q9:S9"/>
    <mergeCell ref="D15:D17"/>
    <mergeCell ref="Q10:S10"/>
    <mergeCell ref="Q11:S11"/>
    <mergeCell ref="Q12:S12"/>
    <mergeCell ref="Q8:S8"/>
    <mergeCell ref="I14:J14"/>
    <mergeCell ref="C21:C30"/>
    <mergeCell ref="D21:D23"/>
    <mergeCell ref="Q16:S16"/>
    <mergeCell ref="B3:E3"/>
    <mergeCell ref="K3:S3"/>
    <mergeCell ref="B4:C5"/>
    <mergeCell ref="R4:S4"/>
    <mergeCell ref="R5:S5"/>
  </mergeCells>
  <phoneticPr fontId="4"/>
  <conditionalFormatting sqref="F6">
    <cfRule type="cellIs" dxfId="2" priority="3" operator="equal">
      <formula>0</formula>
    </cfRule>
  </conditionalFormatting>
  <conditionalFormatting sqref="F18">
    <cfRule type="cellIs" dxfId="1" priority="2" operator="equal">
      <formula>0</formula>
    </cfRule>
  </conditionalFormatting>
  <conditionalFormatting sqref="F24:F25">
    <cfRule type="cellIs" dxfId="0" priority="1" operator="equal">
      <formula>0</formula>
    </cfRule>
  </conditionalFormatting>
  <pageMargins left="0.7" right="0.7" top="0.75" bottom="0.75" header="0.3" footer="0.3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86"/>
  <sheetViews>
    <sheetView showZeros="0" zoomScale="75" zoomScaleNormal="75" zoomScaleSheetLayoutView="75" workbookViewId="0"/>
  </sheetViews>
  <sheetFormatPr defaultRowHeight="13.5"/>
  <cols>
    <col min="1" max="1" width="1.625" style="23" customWidth="1"/>
    <col min="2" max="2" width="3.625" style="23" customWidth="1"/>
    <col min="3" max="3" width="15.625" style="23" customWidth="1"/>
    <col min="4" max="7" width="8.625" style="23" customWidth="1"/>
    <col min="8" max="8" width="1.625" style="142" customWidth="1"/>
    <col min="9" max="9" width="3.625" style="23" customWidth="1"/>
    <col min="10" max="10" width="15.625" style="23" customWidth="1"/>
    <col min="11" max="14" width="8.625" style="23" customWidth="1"/>
    <col min="15" max="15" width="3.5" style="23" customWidth="1"/>
    <col min="16" max="16" width="15.625" style="111" customWidth="1"/>
    <col min="17" max="17" width="8.625" style="23" customWidth="1"/>
    <col min="18" max="18" width="8.625" style="24" customWidth="1"/>
    <col min="19" max="21" width="8.625" style="23" customWidth="1"/>
    <col min="22" max="22" width="10.625" style="24" customWidth="1"/>
    <col min="23" max="24" width="9.875" style="23" bestFit="1" customWidth="1"/>
    <col min="25" max="245" width="9" style="23"/>
    <col min="246" max="246" width="1.375" style="23" customWidth="1"/>
    <col min="247" max="247" width="3.5" style="23" customWidth="1"/>
    <col min="248" max="248" width="22.125" style="23" customWidth="1"/>
    <col min="249" max="249" width="9.75" style="23" customWidth="1"/>
    <col min="250" max="250" width="7.375" style="23" customWidth="1"/>
    <col min="251" max="251" width="9" style="23"/>
    <col min="252" max="252" width="9.25" style="23" customWidth="1"/>
    <col min="253" max="253" width="3.5" style="23" customWidth="1"/>
    <col min="254" max="255" width="12.625" style="23" customWidth="1"/>
    <col min="256" max="256" width="9" style="23"/>
    <col min="257" max="257" width="7.75" style="23" customWidth="1"/>
    <col min="258" max="258" width="13.125" style="23" customWidth="1"/>
    <col min="259" max="259" width="6.125" style="23" customWidth="1"/>
    <col min="260" max="260" width="9.75" style="23" customWidth="1"/>
    <col min="261" max="261" width="1.375" style="23" customWidth="1"/>
    <col min="262" max="501" width="9" style="23"/>
    <col min="502" max="502" width="1.375" style="23" customWidth="1"/>
    <col min="503" max="503" width="3.5" style="23" customWidth="1"/>
    <col min="504" max="504" width="22.125" style="23" customWidth="1"/>
    <col min="505" max="505" width="9.75" style="23" customWidth="1"/>
    <col min="506" max="506" width="7.375" style="23" customWidth="1"/>
    <col min="507" max="507" width="9" style="23"/>
    <col min="508" max="508" width="9.25" style="23" customWidth="1"/>
    <col min="509" max="509" width="3.5" style="23" customWidth="1"/>
    <col min="510" max="511" width="12.625" style="23" customWidth="1"/>
    <col min="512" max="512" width="9" style="23"/>
    <col min="513" max="513" width="7.75" style="23" customWidth="1"/>
    <col min="514" max="514" width="13.125" style="23" customWidth="1"/>
    <col min="515" max="515" width="6.125" style="23" customWidth="1"/>
    <col min="516" max="516" width="9.75" style="23" customWidth="1"/>
    <col min="517" max="517" width="1.375" style="23" customWidth="1"/>
    <col min="518" max="757" width="9" style="23"/>
    <col min="758" max="758" width="1.375" style="23" customWidth="1"/>
    <col min="759" max="759" width="3.5" style="23" customWidth="1"/>
    <col min="760" max="760" width="22.125" style="23" customWidth="1"/>
    <col min="761" max="761" width="9.75" style="23" customWidth="1"/>
    <col min="762" max="762" width="7.375" style="23" customWidth="1"/>
    <col min="763" max="763" width="9" style="23"/>
    <col min="764" max="764" width="9.25" style="23" customWidth="1"/>
    <col min="765" max="765" width="3.5" style="23" customWidth="1"/>
    <col min="766" max="767" width="12.625" style="23" customWidth="1"/>
    <col min="768" max="768" width="9" style="23"/>
    <col min="769" max="769" width="7.75" style="23" customWidth="1"/>
    <col min="770" max="770" width="13.125" style="23" customWidth="1"/>
    <col min="771" max="771" width="6.125" style="23" customWidth="1"/>
    <col min="772" max="772" width="9.75" style="23" customWidth="1"/>
    <col min="773" max="773" width="1.375" style="23" customWidth="1"/>
    <col min="774" max="1013" width="9" style="23"/>
    <col min="1014" max="1014" width="1.375" style="23" customWidth="1"/>
    <col min="1015" max="1015" width="3.5" style="23" customWidth="1"/>
    <col min="1016" max="1016" width="22.125" style="23" customWidth="1"/>
    <col min="1017" max="1017" width="9.75" style="23" customWidth="1"/>
    <col min="1018" max="1018" width="7.375" style="23" customWidth="1"/>
    <col min="1019" max="1019" width="9" style="23"/>
    <col min="1020" max="1020" width="9.25" style="23" customWidth="1"/>
    <col min="1021" max="1021" width="3.5" style="23" customWidth="1"/>
    <col min="1022" max="1023" width="12.625" style="23" customWidth="1"/>
    <col min="1024" max="1024" width="9" style="23"/>
    <col min="1025" max="1025" width="7.75" style="23" customWidth="1"/>
    <col min="1026" max="1026" width="13.125" style="23" customWidth="1"/>
    <col min="1027" max="1027" width="6.125" style="23" customWidth="1"/>
    <col min="1028" max="1028" width="9.75" style="23" customWidth="1"/>
    <col min="1029" max="1029" width="1.375" style="23" customWidth="1"/>
    <col min="1030" max="1269" width="9" style="23"/>
    <col min="1270" max="1270" width="1.375" style="23" customWidth="1"/>
    <col min="1271" max="1271" width="3.5" style="23" customWidth="1"/>
    <col min="1272" max="1272" width="22.125" style="23" customWidth="1"/>
    <col min="1273" max="1273" width="9.75" style="23" customWidth="1"/>
    <col min="1274" max="1274" width="7.375" style="23" customWidth="1"/>
    <col min="1275" max="1275" width="9" style="23"/>
    <col min="1276" max="1276" width="9.25" style="23" customWidth="1"/>
    <col min="1277" max="1277" width="3.5" style="23" customWidth="1"/>
    <col min="1278" max="1279" width="12.625" style="23" customWidth="1"/>
    <col min="1280" max="1280" width="9" style="23"/>
    <col min="1281" max="1281" width="7.75" style="23" customWidth="1"/>
    <col min="1282" max="1282" width="13.125" style="23" customWidth="1"/>
    <col min="1283" max="1283" width="6.125" style="23" customWidth="1"/>
    <col min="1284" max="1284" width="9.75" style="23" customWidth="1"/>
    <col min="1285" max="1285" width="1.375" style="23" customWidth="1"/>
    <col min="1286" max="1525" width="9" style="23"/>
    <col min="1526" max="1526" width="1.375" style="23" customWidth="1"/>
    <col min="1527" max="1527" width="3.5" style="23" customWidth="1"/>
    <col min="1528" max="1528" width="22.125" style="23" customWidth="1"/>
    <col min="1529" max="1529" width="9.75" style="23" customWidth="1"/>
    <col min="1530" max="1530" width="7.375" style="23" customWidth="1"/>
    <col min="1531" max="1531" width="9" style="23"/>
    <col min="1532" max="1532" width="9.25" style="23" customWidth="1"/>
    <col min="1533" max="1533" width="3.5" style="23" customWidth="1"/>
    <col min="1534" max="1535" width="12.625" style="23" customWidth="1"/>
    <col min="1536" max="1536" width="9" style="23"/>
    <col min="1537" max="1537" width="7.75" style="23" customWidth="1"/>
    <col min="1538" max="1538" width="13.125" style="23" customWidth="1"/>
    <col min="1539" max="1539" width="6.125" style="23" customWidth="1"/>
    <col min="1540" max="1540" width="9.75" style="23" customWidth="1"/>
    <col min="1541" max="1541" width="1.375" style="23" customWidth="1"/>
    <col min="1542" max="1781" width="9" style="23"/>
    <col min="1782" max="1782" width="1.375" style="23" customWidth="1"/>
    <col min="1783" max="1783" width="3.5" style="23" customWidth="1"/>
    <col min="1784" max="1784" width="22.125" style="23" customWidth="1"/>
    <col min="1785" max="1785" width="9.75" style="23" customWidth="1"/>
    <col min="1786" max="1786" width="7.375" style="23" customWidth="1"/>
    <col min="1787" max="1787" width="9" style="23"/>
    <col min="1788" max="1788" width="9.25" style="23" customWidth="1"/>
    <col min="1789" max="1789" width="3.5" style="23" customWidth="1"/>
    <col min="1790" max="1791" width="12.625" style="23" customWidth="1"/>
    <col min="1792" max="1792" width="9" style="23"/>
    <col min="1793" max="1793" width="7.75" style="23" customWidth="1"/>
    <col min="1794" max="1794" width="13.125" style="23" customWidth="1"/>
    <col min="1795" max="1795" width="6.125" style="23" customWidth="1"/>
    <col min="1796" max="1796" width="9.75" style="23" customWidth="1"/>
    <col min="1797" max="1797" width="1.375" style="23" customWidth="1"/>
    <col min="1798" max="2037" width="9" style="23"/>
    <col min="2038" max="2038" width="1.375" style="23" customWidth="1"/>
    <col min="2039" max="2039" width="3.5" style="23" customWidth="1"/>
    <col min="2040" max="2040" width="22.125" style="23" customWidth="1"/>
    <col min="2041" max="2041" width="9.75" style="23" customWidth="1"/>
    <col min="2042" max="2042" width="7.375" style="23" customWidth="1"/>
    <col min="2043" max="2043" width="9" style="23"/>
    <col min="2044" max="2044" width="9.25" style="23" customWidth="1"/>
    <col min="2045" max="2045" width="3.5" style="23" customWidth="1"/>
    <col min="2046" max="2047" width="12.625" style="23" customWidth="1"/>
    <col min="2048" max="2048" width="9" style="23"/>
    <col min="2049" max="2049" width="7.75" style="23" customWidth="1"/>
    <col min="2050" max="2050" width="13.125" style="23" customWidth="1"/>
    <col min="2051" max="2051" width="6.125" style="23" customWidth="1"/>
    <col min="2052" max="2052" width="9.75" style="23" customWidth="1"/>
    <col min="2053" max="2053" width="1.375" style="23" customWidth="1"/>
    <col min="2054" max="2293" width="9" style="23"/>
    <col min="2294" max="2294" width="1.375" style="23" customWidth="1"/>
    <col min="2295" max="2295" width="3.5" style="23" customWidth="1"/>
    <col min="2296" max="2296" width="22.125" style="23" customWidth="1"/>
    <col min="2297" max="2297" width="9.75" style="23" customWidth="1"/>
    <col min="2298" max="2298" width="7.375" style="23" customWidth="1"/>
    <col min="2299" max="2299" width="9" style="23"/>
    <col min="2300" max="2300" width="9.25" style="23" customWidth="1"/>
    <col min="2301" max="2301" width="3.5" style="23" customWidth="1"/>
    <col min="2302" max="2303" width="12.625" style="23" customWidth="1"/>
    <col min="2304" max="2304" width="9" style="23"/>
    <col min="2305" max="2305" width="7.75" style="23" customWidth="1"/>
    <col min="2306" max="2306" width="13.125" style="23" customWidth="1"/>
    <col min="2307" max="2307" width="6.125" style="23" customWidth="1"/>
    <col min="2308" max="2308" width="9.75" style="23" customWidth="1"/>
    <col min="2309" max="2309" width="1.375" style="23" customWidth="1"/>
    <col min="2310" max="2549" width="9" style="23"/>
    <col min="2550" max="2550" width="1.375" style="23" customWidth="1"/>
    <col min="2551" max="2551" width="3.5" style="23" customWidth="1"/>
    <col min="2552" max="2552" width="22.125" style="23" customWidth="1"/>
    <col min="2553" max="2553" width="9.75" style="23" customWidth="1"/>
    <col min="2554" max="2554" width="7.375" style="23" customWidth="1"/>
    <col min="2555" max="2555" width="9" style="23"/>
    <col min="2556" max="2556" width="9.25" style="23" customWidth="1"/>
    <col min="2557" max="2557" width="3.5" style="23" customWidth="1"/>
    <col min="2558" max="2559" width="12.625" style="23" customWidth="1"/>
    <col min="2560" max="2560" width="9" style="23"/>
    <col min="2561" max="2561" width="7.75" style="23" customWidth="1"/>
    <col min="2562" max="2562" width="13.125" style="23" customWidth="1"/>
    <col min="2563" max="2563" width="6.125" style="23" customWidth="1"/>
    <col min="2564" max="2564" width="9.75" style="23" customWidth="1"/>
    <col min="2565" max="2565" width="1.375" style="23" customWidth="1"/>
    <col min="2566" max="2805" width="9" style="23"/>
    <col min="2806" max="2806" width="1.375" style="23" customWidth="1"/>
    <col min="2807" max="2807" width="3.5" style="23" customWidth="1"/>
    <col min="2808" max="2808" width="22.125" style="23" customWidth="1"/>
    <col min="2809" max="2809" width="9.75" style="23" customWidth="1"/>
    <col min="2810" max="2810" width="7.375" style="23" customWidth="1"/>
    <col min="2811" max="2811" width="9" style="23"/>
    <col min="2812" max="2812" width="9.25" style="23" customWidth="1"/>
    <col min="2813" max="2813" width="3.5" style="23" customWidth="1"/>
    <col min="2814" max="2815" width="12.625" style="23" customWidth="1"/>
    <col min="2816" max="2816" width="9" style="23"/>
    <col min="2817" max="2817" width="7.75" style="23" customWidth="1"/>
    <col min="2818" max="2818" width="13.125" style="23" customWidth="1"/>
    <col min="2819" max="2819" width="6.125" style="23" customWidth="1"/>
    <col min="2820" max="2820" width="9.75" style="23" customWidth="1"/>
    <col min="2821" max="2821" width="1.375" style="23" customWidth="1"/>
    <col min="2822" max="3061" width="9" style="23"/>
    <col min="3062" max="3062" width="1.375" style="23" customWidth="1"/>
    <col min="3063" max="3063" width="3.5" style="23" customWidth="1"/>
    <col min="3064" max="3064" width="22.125" style="23" customWidth="1"/>
    <col min="3065" max="3065" width="9.75" style="23" customWidth="1"/>
    <col min="3066" max="3066" width="7.375" style="23" customWidth="1"/>
    <col min="3067" max="3067" width="9" style="23"/>
    <col min="3068" max="3068" width="9.25" style="23" customWidth="1"/>
    <col min="3069" max="3069" width="3.5" style="23" customWidth="1"/>
    <col min="3070" max="3071" width="12.625" style="23" customWidth="1"/>
    <col min="3072" max="3072" width="9" style="23"/>
    <col min="3073" max="3073" width="7.75" style="23" customWidth="1"/>
    <col min="3074" max="3074" width="13.125" style="23" customWidth="1"/>
    <col min="3075" max="3075" width="6.125" style="23" customWidth="1"/>
    <col min="3076" max="3076" width="9.75" style="23" customWidth="1"/>
    <col min="3077" max="3077" width="1.375" style="23" customWidth="1"/>
    <col min="3078" max="3317" width="9" style="23"/>
    <col min="3318" max="3318" width="1.375" style="23" customWidth="1"/>
    <col min="3319" max="3319" width="3.5" style="23" customWidth="1"/>
    <col min="3320" max="3320" width="22.125" style="23" customWidth="1"/>
    <col min="3321" max="3321" width="9.75" style="23" customWidth="1"/>
    <col min="3322" max="3322" width="7.375" style="23" customWidth="1"/>
    <col min="3323" max="3323" width="9" style="23"/>
    <col min="3324" max="3324" width="9.25" style="23" customWidth="1"/>
    <col min="3325" max="3325" width="3.5" style="23" customWidth="1"/>
    <col min="3326" max="3327" width="12.625" style="23" customWidth="1"/>
    <col min="3328" max="3328" width="9" style="23"/>
    <col min="3329" max="3329" width="7.75" style="23" customWidth="1"/>
    <col min="3330" max="3330" width="13.125" style="23" customWidth="1"/>
    <col min="3331" max="3331" width="6.125" style="23" customWidth="1"/>
    <col min="3332" max="3332" width="9.75" style="23" customWidth="1"/>
    <col min="3333" max="3333" width="1.375" style="23" customWidth="1"/>
    <col min="3334" max="3573" width="9" style="23"/>
    <col min="3574" max="3574" width="1.375" style="23" customWidth="1"/>
    <col min="3575" max="3575" width="3.5" style="23" customWidth="1"/>
    <col min="3576" max="3576" width="22.125" style="23" customWidth="1"/>
    <col min="3577" max="3577" width="9.75" style="23" customWidth="1"/>
    <col min="3578" max="3578" width="7.375" style="23" customWidth="1"/>
    <col min="3579" max="3579" width="9" style="23"/>
    <col min="3580" max="3580" width="9.25" style="23" customWidth="1"/>
    <col min="3581" max="3581" width="3.5" style="23" customWidth="1"/>
    <col min="3582" max="3583" width="12.625" style="23" customWidth="1"/>
    <col min="3584" max="3584" width="9" style="23"/>
    <col min="3585" max="3585" width="7.75" style="23" customWidth="1"/>
    <col min="3586" max="3586" width="13.125" style="23" customWidth="1"/>
    <col min="3587" max="3587" width="6.125" style="23" customWidth="1"/>
    <col min="3588" max="3588" width="9.75" style="23" customWidth="1"/>
    <col min="3589" max="3589" width="1.375" style="23" customWidth="1"/>
    <col min="3590" max="3829" width="9" style="23"/>
    <col min="3830" max="3830" width="1.375" style="23" customWidth="1"/>
    <col min="3831" max="3831" width="3.5" style="23" customWidth="1"/>
    <col min="3832" max="3832" width="22.125" style="23" customWidth="1"/>
    <col min="3833" max="3833" width="9.75" style="23" customWidth="1"/>
    <col min="3834" max="3834" width="7.375" style="23" customWidth="1"/>
    <col min="3835" max="3835" width="9" style="23"/>
    <col min="3836" max="3836" width="9.25" style="23" customWidth="1"/>
    <col min="3837" max="3837" width="3.5" style="23" customWidth="1"/>
    <col min="3838" max="3839" width="12.625" style="23" customWidth="1"/>
    <col min="3840" max="3840" width="9" style="23"/>
    <col min="3841" max="3841" width="7.75" style="23" customWidth="1"/>
    <col min="3842" max="3842" width="13.125" style="23" customWidth="1"/>
    <col min="3843" max="3843" width="6.125" style="23" customWidth="1"/>
    <col min="3844" max="3844" width="9.75" style="23" customWidth="1"/>
    <col min="3845" max="3845" width="1.375" style="23" customWidth="1"/>
    <col min="3846" max="4085" width="9" style="23"/>
    <col min="4086" max="4086" width="1.375" style="23" customWidth="1"/>
    <col min="4087" max="4087" width="3.5" style="23" customWidth="1"/>
    <col min="4088" max="4088" width="22.125" style="23" customWidth="1"/>
    <col min="4089" max="4089" width="9.75" style="23" customWidth="1"/>
    <col min="4090" max="4090" width="7.375" style="23" customWidth="1"/>
    <col min="4091" max="4091" width="9" style="23"/>
    <col min="4092" max="4092" width="9.25" style="23" customWidth="1"/>
    <col min="4093" max="4093" width="3.5" style="23" customWidth="1"/>
    <col min="4094" max="4095" width="12.625" style="23" customWidth="1"/>
    <col min="4096" max="4096" width="9" style="23"/>
    <col min="4097" max="4097" width="7.75" style="23" customWidth="1"/>
    <col min="4098" max="4098" width="13.125" style="23" customWidth="1"/>
    <col min="4099" max="4099" width="6.125" style="23" customWidth="1"/>
    <col min="4100" max="4100" width="9.75" style="23" customWidth="1"/>
    <col min="4101" max="4101" width="1.375" style="23" customWidth="1"/>
    <col min="4102" max="4341" width="9" style="23"/>
    <col min="4342" max="4342" width="1.375" style="23" customWidth="1"/>
    <col min="4343" max="4343" width="3.5" style="23" customWidth="1"/>
    <col min="4344" max="4344" width="22.125" style="23" customWidth="1"/>
    <col min="4345" max="4345" width="9.75" style="23" customWidth="1"/>
    <col min="4346" max="4346" width="7.375" style="23" customWidth="1"/>
    <col min="4347" max="4347" width="9" style="23"/>
    <col min="4348" max="4348" width="9.25" style="23" customWidth="1"/>
    <col min="4349" max="4349" width="3.5" style="23" customWidth="1"/>
    <col min="4350" max="4351" width="12.625" style="23" customWidth="1"/>
    <col min="4352" max="4352" width="9" style="23"/>
    <col min="4353" max="4353" width="7.75" style="23" customWidth="1"/>
    <col min="4354" max="4354" width="13.125" style="23" customWidth="1"/>
    <col min="4355" max="4355" width="6.125" style="23" customWidth="1"/>
    <col min="4356" max="4356" width="9.75" style="23" customWidth="1"/>
    <col min="4357" max="4357" width="1.375" style="23" customWidth="1"/>
    <col min="4358" max="4597" width="9" style="23"/>
    <col min="4598" max="4598" width="1.375" style="23" customWidth="1"/>
    <col min="4599" max="4599" width="3.5" style="23" customWidth="1"/>
    <col min="4600" max="4600" width="22.125" style="23" customWidth="1"/>
    <col min="4601" max="4601" width="9.75" style="23" customWidth="1"/>
    <col min="4602" max="4602" width="7.375" style="23" customWidth="1"/>
    <col min="4603" max="4603" width="9" style="23"/>
    <col min="4604" max="4604" width="9.25" style="23" customWidth="1"/>
    <col min="4605" max="4605" width="3.5" style="23" customWidth="1"/>
    <col min="4606" max="4607" width="12.625" style="23" customWidth="1"/>
    <col min="4608" max="4608" width="9" style="23"/>
    <col min="4609" max="4609" width="7.75" style="23" customWidth="1"/>
    <col min="4610" max="4610" width="13.125" style="23" customWidth="1"/>
    <col min="4611" max="4611" width="6.125" style="23" customWidth="1"/>
    <col min="4612" max="4612" width="9.75" style="23" customWidth="1"/>
    <col min="4613" max="4613" width="1.375" style="23" customWidth="1"/>
    <col min="4614" max="4853" width="9" style="23"/>
    <col min="4854" max="4854" width="1.375" style="23" customWidth="1"/>
    <col min="4855" max="4855" width="3.5" style="23" customWidth="1"/>
    <col min="4856" max="4856" width="22.125" style="23" customWidth="1"/>
    <col min="4857" max="4857" width="9.75" style="23" customWidth="1"/>
    <col min="4858" max="4858" width="7.375" style="23" customWidth="1"/>
    <col min="4859" max="4859" width="9" style="23"/>
    <col min="4860" max="4860" width="9.25" style="23" customWidth="1"/>
    <col min="4861" max="4861" width="3.5" style="23" customWidth="1"/>
    <col min="4862" max="4863" width="12.625" style="23" customWidth="1"/>
    <col min="4864" max="4864" width="9" style="23"/>
    <col min="4865" max="4865" width="7.75" style="23" customWidth="1"/>
    <col min="4866" max="4866" width="13.125" style="23" customWidth="1"/>
    <col min="4867" max="4867" width="6.125" style="23" customWidth="1"/>
    <col min="4868" max="4868" width="9.75" style="23" customWidth="1"/>
    <col min="4869" max="4869" width="1.375" style="23" customWidth="1"/>
    <col min="4870" max="5109" width="9" style="23"/>
    <col min="5110" max="5110" width="1.375" style="23" customWidth="1"/>
    <col min="5111" max="5111" width="3.5" style="23" customWidth="1"/>
    <col min="5112" max="5112" width="22.125" style="23" customWidth="1"/>
    <col min="5113" max="5113" width="9.75" style="23" customWidth="1"/>
    <col min="5114" max="5114" width="7.375" style="23" customWidth="1"/>
    <col min="5115" max="5115" width="9" style="23"/>
    <col min="5116" max="5116" width="9.25" style="23" customWidth="1"/>
    <col min="5117" max="5117" width="3.5" style="23" customWidth="1"/>
    <col min="5118" max="5119" width="12.625" style="23" customWidth="1"/>
    <col min="5120" max="5120" width="9" style="23"/>
    <col min="5121" max="5121" width="7.75" style="23" customWidth="1"/>
    <col min="5122" max="5122" width="13.125" style="23" customWidth="1"/>
    <col min="5123" max="5123" width="6.125" style="23" customWidth="1"/>
    <col min="5124" max="5124" width="9.75" style="23" customWidth="1"/>
    <col min="5125" max="5125" width="1.375" style="23" customWidth="1"/>
    <col min="5126" max="5365" width="9" style="23"/>
    <col min="5366" max="5366" width="1.375" style="23" customWidth="1"/>
    <col min="5367" max="5367" width="3.5" style="23" customWidth="1"/>
    <col min="5368" max="5368" width="22.125" style="23" customWidth="1"/>
    <col min="5369" max="5369" width="9.75" style="23" customWidth="1"/>
    <col min="5370" max="5370" width="7.375" style="23" customWidth="1"/>
    <col min="5371" max="5371" width="9" style="23"/>
    <col min="5372" max="5372" width="9.25" style="23" customWidth="1"/>
    <col min="5373" max="5373" width="3.5" style="23" customWidth="1"/>
    <col min="5374" max="5375" width="12.625" style="23" customWidth="1"/>
    <col min="5376" max="5376" width="9" style="23"/>
    <col min="5377" max="5377" width="7.75" style="23" customWidth="1"/>
    <col min="5378" max="5378" width="13.125" style="23" customWidth="1"/>
    <col min="5379" max="5379" width="6.125" style="23" customWidth="1"/>
    <col min="5380" max="5380" width="9.75" style="23" customWidth="1"/>
    <col min="5381" max="5381" width="1.375" style="23" customWidth="1"/>
    <col min="5382" max="5621" width="9" style="23"/>
    <col min="5622" max="5622" width="1.375" style="23" customWidth="1"/>
    <col min="5623" max="5623" width="3.5" style="23" customWidth="1"/>
    <col min="5624" max="5624" width="22.125" style="23" customWidth="1"/>
    <col min="5625" max="5625" width="9.75" style="23" customWidth="1"/>
    <col min="5626" max="5626" width="7.375" style="23" customWidth="1"/>
    <col min="5627" max="5627" width="9" style="23"/>
    <col min="5628" max="5628" width="9.25" style="23" customWidth="1"/>
    <col min="5629" max="5629" width="3.5" style="23" customWidth="1"/>
    <col min="5630" max="5631" width="12.625" style="23" customWidth="1"/>
    <col min="5632" max="5632" width="9" style="23"/>
    <col min="5633" max="5633" width="7.75" style="23" customWidth="1"/>
    <col min="5634" max="5634" width="13.125" style="23" customWidth="1"/>
    <col min="5635" max="5635" width="6.125" style="23" customWidth="1"/>
    <col min="5636" max="5636" width="9.75" style="23" customWidth="1"/>
    <col min="5637" max="5637" width="1.375" style="23" customWidth="1"/>
    <col min="5638" max="5877" width="9" style="23"/>
    <col min="5878" max="5878" width="1.375" style="23" customWidth="1"/>
    <col min="5879" max="5879" width="3.5" style="23" customWidth="1"/>
    <col min="5880" max="5880" width="22.125" style="23" customWidth="1"/>
    <col min="5881" max="5881" width="9.75" style="23" customWidth="1"/>
    <col min="5882" max="5882" width="7.375" style="23" customWidth="1"/>
    <col min="5883" max="5883" width="9" style="23"/>
    <col min="5884" max="5884" width="9.25" style="23" customWidth="1"/>
    <col min="5885" max="5885" width="3.5" style="23" customWidth="1"/>
    <col min="5886" max="5887" width="12.625" style="23" customWidth="1"/>
    <col min="5888" max="5888" width="9" style="23"/>
    <col min="5889" max="5889" width="7.75" style="23" customWidth="1"/>
    <col min="5890" max="5890" width="13.125" style="23" customWidth="1"/>
    <col min="5891" max="5891" width="6.125" style="23" customWidth="1"/>
    <col min="5892" max="5892" width="9.75" style="23" customWidth="1"/>
    <col min="5893" max="5893" width="1.375" style="23" customWidth="1"/>
    <col min="5894" max="6133" width="9" style="23"/>
    <col min="6134" max="6134" width="1.375" style="23" customWidth="1"/>
    <col min="6135" max="6135" width="3.5" style="23" customWidth="1"/>
    <col min="6136" max="6136" width="22.125" style="23" customWidth="1"/>
    <col min="6137" max="6137" width="9.75" style="23" customWidth="1"/>
    <col min="6138" max="6138" width="7.375" style="23" customWidth="1"/>
    <col min="6139" max="6139" width="9" style="23"/>
    <col min="6140" max="6140" width="9.25" style="23" customWidth="1"/>
    <col min="6141" max="6141" width="3.5" style="23" customWidth="1"/>
    <col min="6142" max="6143" width="12.625" style="23" customWidth="1"/>
    <col min="6144" max="6144" width="9" style="23"/>
    <col min="6145" max="6145" width="7.75" style="23" customWidth="1"/>
    <col min="6146" max="6146" width="13.125" style="23" customWidth="1"/>
    <col min="6147" max="6147" width="6.125" style="23" customWidth="1"/>
    <col min="6148" max="6148" width="9.75" style="23" customWidth="1"/>
    <col min="6149" max="6149" width="1.375" style="23" customWidth="1"/>
    <col min="6150" max="6389" width="9" style="23"/>
    <col min="6390" max="6390" width="1.375" style="23" customWidth="1"/>
    <col min="6391" max="6391" width="3.5" style="23" customWidth="1"/>
    <col min="6392" max="6392" width="22.125" style="23" customWidth="1"/>
    <col min="6393" max="6393" width="9.75" style="23" customWidth="1"/>
    <col min="6394" max="6394" width="7.375" style="23" customWidth="1"/>
    <col min="6395" max="6395" width="9" style="23"/>
    <col min="6396" max="6396" width="9.25" style="23" customWidth="1"/>
    <col min="6397" max="6397" width="3.5" style="23" customWidth="1"/>
    <col min="6398" max="6399" width="12.625" style="23" customWidth="1"/>
    <col min="6400" max="6400" width="9" style="23"/>
    <col min="6401" max="6401" width="7.75" style="23" customWidth="1"/>
    <col min="6402" max="6402" width="13.125" style="23" customWidth="1"/>
    <col min="6403" max="6403" width="6.125" style="23" customWidth="1"/>
    <col min="6404" max="6404" width="9.75" style="23" customWidth="1"/>
    <col min="6405" max="6405" width="1.375" style="23" customWidth="1"/>
    <col min="6406" max="6645" width="9" style="23"/>
    <col min="6646" max="6646" width="1.375" style="23" customWidth="1"/>
    <col min="6647" max="6647" width="3.5" style="23" customWidth="1"/>
    <col min="6648" max="6648" width="22.125" style="23" customWidth="1"/>
    <col min="6649" max="6649" width="9.75" style="23" customWidth="1"/>
    <col min="6650" max="6650" width="7.375" style="23" customWidth="1"/>
    <col min="6651" max="6651" width="9" style="23"/>
    <col min="6652" max="6652" width="9.25" style="23" customWidth="1"/>
    <col min="6653" max="6653" width="3.5" style="23" customWidth="1"/>
    <col min="6654" max="6655" width="12.625" style="23" customWidth="1"/>
    <col min="6656" max="6656" width="9" style="23"/>
    <col min="6657" max="6657" width="7.75" style="23" customWidth="1"/>
    <col min="6658" max="6658" width="13.125" style="23" customWidth="1"/>
    <col min="6659" max="6659" width="6.125" style="23" customWidth="1"/>
    <col min="6660" max="6660" width="9.75" style="23" customWidth="1"/>
    <col min="6661" max="6661" width="1.375" style="23" customWidth="1"/>
    <col min="6662" max="6901" width="9" style="23"/>
    <col min="6902" max="6902" width="1.375" style="23" customWidth="1"/>
    <col min="6903" max="6903" width="3.5" style="23" customWidth="1"/>
    <col min="6904" max="6904" width="22.125" style="23" customWidth="1"/>
    <col min="6905" max="6905" width="9.75" style="23" customWidth="1"/>
    <col min="6906" max="6906" width="7.375" style="23" customWidth="1"/>
    <col min="6907" max="6907" width="9" style="23"/>
    <col min="6908" max="6908" width="9.25" style="23" customWidth="1"/>
    <col min="6909" max="6909" width="3.5" style="23" customWidth="1"/>
    <col min="6910" max="6911" width="12.625" style="23" customWidth="1"/>
    <col min="6912" max="6912" width="9" style="23"/>
    <col min="6913" max="6913" width="7.75" style="23" customWidth="1"/>
    <col min="6914" max="6914" width="13.125" style="23" customWidth="1"/>
    <col min="6915" max="6915" width="6.125" style="23" customWidth="1"/>
    <col min="6916" max="6916" width="9.75" style="23" customWidth="1"/>
    <col min="6917" max="6917" width="1.375" style="23" customWidth="1"/>
    <col min="6918" max="7157" width="9" style="23"/>
    <col min="7158" max="7158" width="1.375" style="23" customWidth="1"/>
    <col min="7159" max="7159" width="3.5" style="23" customWidth="1"/>
    <col min="7160" max="7160" width="22.125" style="23" customWidth="1"/>
    <col min="7161" max="7161" width="9.75" style="23" customWidth="1"/>
    <col min="7162" max="7162" width="7.375" style="23" customWidth="1"/>
    <col min="7163" max="7163" width="9" style="23"/>
    <col min="7164" max="7164" width="9.25" style="23" customWidth="1"/>
    <col min="7165" max="7165" width="3.5" style="23" customWidth="1"/>
    <col min="7166" max="7167" width="12.625" style="23" customWidth="1"/>
    <col min="7168" max="7168" width="9" style="23"/>
    <col min="7169" max="7169" width="7.75" style="23" customWidth="1"/>
    <col min="7170" max="7170" width="13.125" style="23" customWidth="1"/>
    <col min="7171" max="7171" width="6.125" style="23" customWidth="1"/>
    <col min="7172" max="7172" width="9.75" style="23" customWidth="1"/>
    <col min="7173" max="7173" width="1.375" style="23" customWidth="1"/>
    <col min="7174" max="7413" width="9" style="23"/>
    <col min="7414" max="7414" width="1.375" style="23" customWidth="1"/>
    <col min="7415" max="7415" width="3.5" style="23" customWidth="1"/>
    <col min="7416" max="7416" width="22.125" style="23" customWidth="1"/>
    <col min="7417" max="7417" width="9.75" style="23" customWidth="1"/>
    <col min="7418" max="7418" width="7.375" style="23" customWidth="1"/>
    <col min="7419" max="7419" width="9" style="23"/>
    <col min="7420" max="7420" width="9.25" style="23" customWidth="1"/>
    <col min="7421" max="7421" width="3.5" style="23" customWidth="1"/>
    <col min="7422" max="7423" width="12.625" style="23" customWidth="1"/>
    <col min="7424" max="7424" width="9" style="23"/>
    <col min="7425" max="7425" width="7.75" style="23" customWidth="1"/>
    <col min="7426" max="7426" width="13.125" style="23" customWidth="1"/>
    <col min="7427" max="7427" width="6.125" style="23" customWidth="1"/>
    <col min="7428" max="7428" width="9.75" style="23" customWidth="1"/>
    <col min="7429" max="7429" width="1.375" style="23" customWidth="1"/>
    <col min="7430" max="7669" width="9" style="23"/>
    <col min="7670" max="7670" width="1.375" style="23" customWidth="1"/>
    <col min="7671" max="7671" width="3.5" style="23" customWidth="1"/>
    <col min="7672" max="7672" width="22.125" style="23" customWidth="1"/>
    <col min="7673" max="7673" width="9.75" style="23" customWidth="1"/>
    <col min="7674" max="7674" width="7.375" style="23" customWidth="1"/>
    <col min="7675" max="7675" width="9" style="23"/>
    <col min="7676" max="7676" width="9.25" style="23" customWidth="1"/>
    <col min="7677" max="7677" width="3.5" style="23" customWidth="1"/>
    <col min="7678" max="7679" width="12.625" style="23" customWidth="1"/>
    <col min="7680" max="7680" width="9" style="23"/>
    <col min="7681" max="7681" width="7.75" style="23" customWidth="1"/>
    <col min="7682" max="7682" width="13.125" style="23" customWidth="1"/>
    <col min="7683" max="7683" width="6.125" style="23" customWidth="1"/>
    <col min="7684" max="7684" width="9.75" style="23" customWidth="1"/>
    <col min="7685" max="7685" width="1.375" style="23" customWidth="1"/>
    <col min="7686" max="7925" width="9" style="23"/>
    <col min="7926" max="7926" width="1.375" style="23" customWidth="1"/>
    <col min="7927" max="7927" width="3.5" style="23" customWidth="1"/>
    <col min="7928" max="7928" width="22.125" style="23" customWidth="1"/>
    <col min="7929" max="7929" width="9.75" style="23" customWidth="1"/>
    <col min="7930" max="7930" width="7.375" style="23" customWidth="1"/>
    <col min="7931" max="7931" width="9" style="23"/>
    <col min="7932" max="7932" width="9.25" style="23" customWidth="1"/>
    <col min="7933" max="7933" width="3.5" style="23" customWidth="1"/>
    <col min="7934" max="7935" width="12.625" style="23" customWidth="1"/>
    <col min="7936" max="7936" width="9" style="23"/>
    <col min="7937" max="7937" width="7.75" style="23" customWidth="1"/>
    <col min="7938" max="7938" width="13.125" style="23" customWidth="1"/>
    <col min="7939" max="7939" width="6.125" style="23" customWidth="1"/>
    <col min="7940" max="7940" width="9.75" style="23" customWidth="1"/>
    <col min="7941" max="7941" width="1.375" style="23" customWidth="1"/>
    <col min="7942" max="8181" width="9" style="23"/>
    <col min="8182" max="8182" width="1.375" style="23" customWidth="1"/>
    <col min="8183" max="8183" width="3.5" style="23" customWidth="1"/>
    <col min="8184" max="8184" width="22.125" style="23" customWidth="1"/>
    <col min="8185" max="8185" width="9.75" style="23" customWidth="1"/>
    <col min="8186" max="8186" width="7.375" style="23" customWidth="1"/>
    <col min="8187" max="8187" width="9" style="23"/>
    <col min="8188" max="8188" width="9.25" style="23" customWidth="1"/>
    <col min="8189" max="8189" width="3.5" style="23" customWidth="1"/>
    <col min="8190" max="8191" width="12.625" style="23" customWidth="1"/>
    <col min="8192" max="8192" width="9" style="23"/>
    <col min="8193" max="8193" width="7.75" style="23" customWidth="1"/>
    <col min="8194" max="8194" width="13.125" style="23" customWidth="1"/>
    <col min="8195" max="8195" width="6.125" style="23" customWidth="1"/>
    <col min="8196" max="8196" width="9.75" style="23" customWidth="1"/>
    <col min="8197" max="8197" width="1.375" style="23" customWidth="1"/>
    <col min="8198" max="8437" width="9" style="23"/>
    <col min="8438" max="8438" width="1.375" style="23" customWidth="1"/>
    <col min="8439" max="8439" width="3.5" style="23" customWidth="1"/>
    <col min="8440" max="8440" width="22.125" style="23" customWidth="1"/>
    <col min="8441" max="8441" width="9.75" style="23" customWidth="1"/>
    <col min="8442" max="8442" width="7.375" style="23" customWidth="1"/>
    <col min="8443" max="8443" width="9" style="23"/>
    <col min="8444" max="8444" width="9.25" style="23" customWidth="1"/>
    <col min="8445" max="8445" width="3.5" style="23" customWidth="1"/>
    <col min="8446" max="8447" width="12.625" style="23" customWidth="1"/>
    <col min="8448" max="8448" width="9" style="23"/>
    <col min="8449" max="8449" width="7.75" style="23" customWidth="1"/>
    <col min="8450" max="8450" width="13.125" style="23" customWidth="1"/>
    <col min="8451" max="8451" width="6.125" style="23" customWidth="1"/>
    <col min="8452" max="8452" width="9.75" style="23" customWidth="1"/>
    <col min="8453" max="8453" width="1.375" style="23" customWidth="1"/>
    <col min="8454" max="8693" width="9" style="23"/>
    <col min="8694" max="8694" width="1.375" style="23" customWidth="1"/>
    <col min="8695" max="8695" width="3.5" style="23" customWidth="1"/>
    <col min="8696" max="8696" width="22.125" style="23" customWidth="1"/>
    <col min="8697" max="8697" width="9.75" style="23" customWidth="1"/>
    <col min="8698" max="8698" width="7.375" style="23" customWidth="1"/>
    <col min="8699" max="8699" width="9" style="23"/>
    <col min="8700" max="8700" width="9.25" style="23" customWidth="1"/>
    <col min="8701" max="8701" width="3.5" style="23" customWidth="1"/>
    <col min="8702" max="8703" width="12.625" style="23" customWidth="1"/>
    <col min="8704" max="8704" width="9" style="23"/>
    <col min="8705" max="8705" width="7.75" style="23" customWidth="1"/>
    <col min="8706" max="8706" width="13.125" style="23" customWidth="1"/>
    <col min="8707" max="8707" width="6.125" style="23" customWidth="1"/>
    <col min="8708" max="8708" width="9.75" style="23" customWidth="1"/>
    <col min="8709" max="8709" width="1.375" style="23" customWidth="1"/>
    <col min="8710" max="8949" width="9" style="23"/>
    <col min="8950" max="8950" width="1.375" style="23" customWidth="1"/>
    <col min="8951" max="8951" width="3.5" style="23" customWidth="1"/>
    <col min="8952" max="8952" width="22.125" style="23" customWidth="1"/>
    <col min="8953" max="8953" width="9.75" style="23" customWidth="1"/>
    <col min="8954" max="8954" width="7.375" style="23" customWidth="1"/>
    <col min="8955" max="8955" width="9" style="23"/>
    <col min="8956" max="8956" width="9.25" style="23" customWidth="1"/>
    <col min="8957" max="8957" width="3.5" style="23" customWidth="1"/>
    <col min="8958" max="8959" width="12.625" style="23" customWidth="1"/>
    <col min="8960" max="8960" width="9" style="23"/>
    <col min="8961" max="8961" width="7.75" style="23" customWidth="1"/>
    <col min="8962" max="8962" width="13.125" style="23" customWidth="1"/>
    <col min="8963" max="8963" width="6.125" style="23" customWidth="1"/>
    <col min="8964" max="8964" width="9.75" style="23" customWidth="1"/>
    <col min="8965" max="8965" width="1.375" style="23" customWidth="1"/>
    <col min="8966" max="9205" width="9" style="23"/>
    <col min="9206" max="9206" width="1.375" style="23" customWidth="1"/>
    <col min="9207" max="9207" width="3.5" style="23" customWidth="1"/>
    <col min="9208" max="9208" width="22.125" style="23" customWidth="1"/>
    <col min="9209" max="9209" width="9.75" style="23" customWidth="1"/>
    <col min="9210" max="9210" width="7.375" style="23" customWidth="1"/>
    <col min="9211" max="9211" width="9" style="23"/>
    <col min="9212" max="9212" width="9.25" style="23" customWidth="1"/>
    <col min="9213" max="9213" width="3.5" style="23" customWidth="1"/>
    <col min="9214" max="9215" width="12.625" style="23" customWidth="1"/>
    <col min="9216" max="9216" width="9" style="23"/>
    <col min="9217" max="9217" width="7.75" style="23" customWidth="1"/>
    <col min="9218" max="9218" width="13.125" style="23" customWidth="1"/>
    <col min="9219" max="9219" width="6.125" style="23" customWidth="1"/>
    <col min="9220" max="9220" width="9.75" style="23" customWidth="1"/>
    <col min="9221" max="9221" width="1.375" style="23" customWidth="1"/>
    <col min="9222" max="9461" width="9" style="23"/>
    <col min="9462" max="9462" width="1.375" style="23" customWidth="1"/>
    <col min="9463" max="9463" width="3.5" style="23" customWidth="1"/>
    <col min="9464" max="9464" width="22.125" style="23" customWidth="1"/>
    <col min="9465" max="9465" width="9.75" style="23" customWidth="1"/>
    <col min="9466" max="9466" width="7.375" style="23" customWidth="1"/>
    <col min="9467" max="9467" width="9" style="23"/>
    <col min="9468" max="9468" width="9.25" style="23" customWidth="1"/>
    <col min="9469" max="9469" width="3.5" style="23" customWidth="1"/>
    <col min="9470" max="9471" width="12.625" style="23" customWidth="1"/>
    <col min="9472" max="9472" width="9" style="23"/>
    <col min="9473" max="9473" width="7.75" style="23" customWidth="1"/>
    <col min="9474" max="9474" width="13.125" style="23" customWidth="1"/>
    <col min="9475" max="9475" width="6.125" style="23" customWidth="1"/>
    <col min="9476" max="9476" width="9.75" style="23" customWidth="1"/>
    <col min="9477" max="9477" width="1.375" style="23" customWidth="1"/>
    <col min="9478" max="9717" width="9" style="23"/>
    <col min="9718" max="9718" width="1.375" style="23" customWidth="1"/>
    <col min="9719" max="9719" width="3.5" style="23" customWidth="1"/>
    <col min="9720" max="9720" width="22.125" style="23" customWidth="1"/>
    <col min="9721" max="9721" width="9.75" style="23" customWidth="1"/>
    <col min="9722" max="9722" width="7.375" style="23" customWidth="1"/>
    <col min="9723" max="9723" width="9" style="23"/>
    <col min="9724" max="9724" width="9.25" style="23" customWidth="1"/>
    <col min="9725" max="9725" width="3.5" style="23" customWidth="1"/>
    <col min="9726" max="9727" width="12.625" style="23" customWidth="1"/>
    <col min="9728" max="9728" width="9" style="23"/>
    <col min="9729" max="9729" width="7.75" style="23" customWidth="1"/>
    <col min="9730" max="9730" width="13.125" style="23" customWidth="1"/>
    <col min="9731" max="9731" width="6.125" style="23" customWidth="1"/>
    <col min="9732" max="9732" width="9.75" style="23" customWidth="1"/>
    <col min="9733" max="9733" width="1.375" style="23" customWidth="1"/>
    <col min="9734" max="9973" width="9" style="23"/>
    <col min="9974" max="9974" width="1.375" style="23" customWidth="1"/>
    <col min="9975" max="9975" width="3.5" style="23" customWidth="1"/>
    <col min="9976" max="9976" width="22.125" style="23" customWidth="1"/>
    <col min="9977" max="9977" width="9.75" style="23" customWidth="1"/>
    <col min="9978" max="9978" width="7.375" style="23" customWidth="1"/>
    <col min="9979" max="9979" width="9" style="23"/>
    <col min="9980" max="9980" width="9.25" style="23" customWidth="1"/>
    <col min="9981" max="9981" width="3.5" style="23" customWidth="1"/>
    <col min="9982" max="9983" width="12.625" style="23" customWidth="1"/>
    <col min="9984" max="9984" width="9" style="23"/>
    <col min="9985" max="9985" width="7.75" style="23" customWidth="1"/>
    <col min="9986" max="9986" width="13.125" style="23" customWidth="1"/>
    <col min="9987" max="9987" width="6.125" style="23" customWidth="1"/>
    <col min="9988" max="9988" width="9.75" style="23" customWidth="1"/>
    <col min="9989" max="9989" width="1.375" style="23" customWidth="1"/>
    <col min="9990" max="10229" width="9" style="23"/>
    <col min="10230" max="10230" width="1.375" style="23" customWidth="1"/>
    <col min="10231" max="10231" width="3.5" style="23" customWidth="1"/>
    <col min="10232" max="10232" width="22.125" style="23" customWidth="1"/>
    <col min="10233" max="10233" width="9.75" style="23" customWidth="1"/>
    <col min="10234" max="10234" width="7.375" style="23" customWidth="1"/>
    <col min="10235" max="10235" width="9" style="23"/>
    <col min="10236" max="10236" width="9.25" style="23" customWidth="1"/>
    <col min="10237" max="10237" width="3.5" style="23" customWidth="1"/>
    <col min="10238" max="10239" width="12.625" style="23" customWidth="1"/>
    <col min="10240" max="10240" width="9" style="23"/>
    <col min="10241" max="10241" width="7.75" style="23" customWidth="1"/>
    <col min="10242" max="10242" width="13.125" style="23" customWidth="1"/>
    <col min="10243" max="10243" width="6.125" style="23" customWidth="1"/>
    <col min="10244" max="10244" width="9.75" style="23" customWidth="1"/>
    <col min="10245" max="10245" width="1.375" style="23" customWidth="1"/>
    <col min="10246" max="10485" width="9" style="23"/>
    <col min="10486" max="10486" width="1.375" style="23" customWidth="1"/>
    <col min="10487" max="10487" width="3.5" style="23" customWidth="1"/>
    <col min="10488" max="10488" width="22.125" style="23" customWidth="1"/>
    <col min="10489" max="10489" width="9.75" style="23" customWidth="1"/>
    <col min="10490" max="10490" width="7.375" style="23" customWidth="1"/>
    <col min="10491" max="10491" width="9" style="23"/>
    <col min="10492" max="10492" width="9.25" style="23" customWidth="1"/>
    <col min="10493" max="10493" width="3.5" style="23" customWidth="1"/>
    <col min="10494" max="10495" width="12.625" style="23" customWidth="1"/>
    <col min="10496" max="10496" width="9" style="23"/>
    <col min="10497" max="10497" width="7.75" style="23" customWidth="1"/>
    <col min="10498" max="10498" width="13.125" style="23" customWidth="1"/>
    <col min="10499" max="10499" width="6.125" style="23" customWidth="1"/>
    <col min="10500" max="10500" width="9.75" style="23" customWidth="1"/>
    <col min="10501" max="10501" width="1.375" style="23" customWidth="1"/>
    <col min="10502" max="10741" width="9" style="23"/>
    <col min="10742" max="10742" width="1.375" style="23" customWidth="1"/>
    <col min="10743" max="10743" width="3.5" style="23" customWidth="1"/>
    <col min="10744" max="10744" width="22.125" style="23" customWidth="1"/>
    <col min="10745" max="10745" width="9.75" style="23" customWidth="1"/>
    <col min="10746" max="10746" width="7.375" style="23" customWidth="1"/>
    <col min="10747" max="10747" width="9" style="23"/>
    <col min="10748" max="10748" width="9.25" style="23" customWidth="1"/>
    <col min="10749" max="10749" width="3.5" style="23" customWidth="1"/>
    <col min="10750" max="10751" width="12.625" style="23" customWidth="1"/>
    <col min="10752" max="10752" width="9" style="23"/>
    <col min="10753" max="10753" width="7.75" style="23" customWidth="1"/>
    <col min="10754" max="10754" width="13.125" style="23" customWidth="1"/>
    <col min="10755" max="10755" width="6.125" style="23" customWidth="1"/>
    <col min="10756" max="10756" width="9.75" style="23" customWidth="1"/>
    <col min="10757" max="10757" width="1.375" style="23" customWidth="1"/>
    <col min="10758" max="10997" width="9" style="23"/>
    <col min="10998" max="10998" width="1.375" style="23" customWidth="1"/>
    <col min="10999" max="10999" width="3.5" style="23" customWidth="1"/>
    <col min="11000" max="11000" width="22.125" style="23" customWidth="1"/>
    <col min="11001" max="11001" width="9.75" style="23" customWidth="1"/>
    <col min="11002" max="11002" width="7.375" style="23" customWidth="1"/>
    <col min="11003" max="11003" width="9" style="23"/>
    <col min="11004" max="11004" width="9.25" style="23" customWidth="1"/>
    <col min="11005" max="11005" width="3.5" style="23" customWidth="1"/>
    <col min="11006" max="11007" width="12.625" style="23" customWidth="1"/>
    <col min="11008" max="11008" width="9" style="23"/>
    <col min="11009" max="11009" width="7.75" style="23" customWidth="1"/>
    <col min="11010" max="11010" width="13.125" style="23" customWidth="1"/>
    <col min="11011" max="11011" width="6.125" style="23" customWidth="1"/>
    <col min="11012" max="11012" width="9.75" style="23" customWidth="1"/>
    <col min="11013" max="11013" width="1.375" style="23" customWidth="1"/>
    <col min="11014" max="11253" width="9" style="23"/>
    <col min="11254" max="11254" width="1.375" style="23" customWidth="1"/>
    <col min="11255" max="11255" width="3.5" style="23" customWidth="1"/>
    <col min="11256" max="11256" width="22.125" style="23" customWidth="1"/>
    <col min="11257" max="11257" width="9.75" style="23" customWidth="1"/>
    <col min="11258" max="11258" width="7.375" style="23" customWidth="1"/>
    <col min="11259" max="11259" width="9" style="23"/>
    <col min="11260" max="11260" width="9.25" style="23" customWidth="1"/>
    <col min="11261" max="11261" width="3.5" style="23" customWidth="1"/>
    <col min="11262" max="11263" width="12.625" style="23" customWidth="1"/>
    <col min="11264" max="11264" width="9" style="23"/>
    <col min="11265" max="11265" width="7.75" style="23" customWidth="1"/>
    <col min="11266" max="11266" width="13.125" style="23" customWidth="1"/>
    <col min="11267" max="11267" width="6.125" style="23" customWidth="1"/>
    <col min="11268" max="11268" width="9.75" style="23" customWidth="1"/>
    <col min="11269" max="11269" width="1.375" style="23" customWidth="1"/>
    <col min="11270" max="11509" width="9" style="23"/>
    <col min="11510" max="11510" width="1.375" style="23" customWidth="1"/>
    <col min="11511" max="11511" width="3.5" style="23" customWidth="1"/>
    <col min="11512" max="11512" width="22.125" style="23" customWidth="1"/>
    <col min="11513" max="11513" width="9.75" style="23" customWidth="1"/>
    <col min="11514" max="11514" width="7.375" style="23" customWidth="1"/>
    <col min="11515" max="11515" width="9" style="23"/>
    <col min="11516" max="11516" width="9.25" style="23" customWidth="1"/>
    <col min="11517" max="11517" width="3.5" style="23" customWidth="1"/>
    <col min="11518" max="11519" width="12.625" style="23" customWidth="1"/>
    <col min="11520" max="11520" width="9" style="23"/>
    <col min="11521" max="11521" width="7.75" style="23" customWidth="1"/>
    <col min="11522" max="11522" width="13.125" style="23" customWidth="1"/>
    <col min="11523" max="11523" width="6.125" style="23" customWidth="1"/>
    <col min="11524" max="11524" width="9.75" style="23" customWidth="1"/>
    <col min="11525" max="11525" width="1.375" style="23" customWidth="1"/>
    <col min="11526" max="11765" width="9" style="23"/>
    <col min="11766" max="11766" width="1.375" style="23" customWidth="1"/>
    <col min="11767" max="11767" width="3.5" style="23" customWidth="1"/>
    <col min="11768" max="11768" width="22.125" style="23" customWidth="1"/>
    <col min="11769" max="11769" width="9.75" style="23" customWidth="1"/>
    <col min="11770" max="11770" width="7.375" style="23" customWidth="1"/>
    <col min="11771" max="11771" width="9" style="23"/>
    <col min="11772" max="11772" width="9.25" style="23" customWidth="1"/>
    <col min="11773" max="11773" width="3.5" style="23" customWidth="1"/>
    <col min="11774" max="11775" width="12.625" style="23" customWidth="1"/>
    <col min="11776" max="11776" width="9" style="23"/>
    <col min="11777" max="11777" width="7.75" style="23" customWidth="1"/>
    <col min="11778" max="11778" width="13.125" style="23" customWidth="1"/>
    <col min="11779" max="11779" width="6.125" style="23" customWidth="1"/>
    <col min="11780" max="11780" width="9.75" style="23" customWidth="1"/>
    <col min="11781" max="11781" width="1.375" style="23" customWidth="1"/>
    <col min="11782" max="12021" width="9" style="23"/>
    <col min="12022" max="12022" width="1.375" style="23" customWidth="1"/>
    <col min="12023" max="12023" width="3.5" style="23" customWidth="1"/>
    <col min="12024" max="12024" width="22.125" style="23" customWidth="1"/>
    <col min="12025" max="12025" width="9.75" style="23" customWidth="1"/>
    <col min="12026" max="12026" width="7.375" style="23" customWidth="1"/>
    <col min="12027" max="12027" width="9" style="23"/>
    <col min="12028" max="12028" width="9.25" style="23" customWidth="1"/>
    <col min="12029" max="12029" width="3.5" style="23" customWidth="1"/>
    <col min="12030" max="12031" width="12.625" style="23" customWidth="1"/>
    <col min="12032" max="12032" width="9" style="23"/>
    <col min="12033" max="12033" width="7.75" style="23" customWidth="1"/>
    <col min="12034" max="12034" width="13.125" style="23" customWidth="1"/>
    <col min="12035" max="12035" width="6.125" style="23" customWidth="1"/>
    <col min="12036" max="12036" width="9.75" style="23" customWidth="1"/>
    <col min="12037" max="12037" width="1.375" style="23" customWidth="1"/>
    <col min="12038" max="12277" width="9" style="23"/>
    <col min="12278" max="12278" width="1.375" style="23" customWidth="1"/>
    <col min="12279" max="12279" width="3.5" style="23" customWidth="1"/>
    <col min="12280" max="12280" width="22.125" style="23" customWidth="1"/>
    <col min="12281" max="12281" width="9.75" style="23" customWidth="1"/>
    <col min="12282" max="12282" width="7.375" style="23" customWidth="1"/>
    <col min="12283" max="12283" width="9" style="23"/>
    <col min="12284" max="12284" width="9.25" style="23" customWidth="1"/>
    <col min="12285" max="12285" width="3.5" style="23" customWidth="1"/>
    <col min="12286" max="12287" width="12.625" style="23" customWidth="1"/>
    <col min="12288" max="12288" width="9" style="23"/>
    <col min="12289" max="12289" width="7.75" style="23" customWidth="1"/>
    <col min="12290" max="12290" width="13.125" style="23" customWidth="1"/>
    <col min="12291" max="12291" width="6.125" style="23" customWidth="1"/>
    <col min="12292" max="12292" width="9.75" style="23" customWidth="1"/>
    <col min="12293" max="12293" width="1.375" style="23" customWidth="1"/>
    <col min="12294" max="12533" width="9" style="23"/>
    <col min="12534" max="12534" width="1.375" style="23" customWidth="1"/>
    <col min="12535" max="12535" width="3.5" style="23" customWidth="1"/>
    <col min="12536" max="12536" width="22.125" style="23" customWidth="1"/>
    <col min="12537" max="12537" width="9.75" style="23" customWidth="1"/>
    <col min="12538" max="12538" width="7.375" style="23" customWidth="1"/>
    <col min="12539" max="12539" width="9" style="23"/>
    <col min="12540" max="12540" width="9.25" style="23" customWidth="1"/>
    <col min="12541" max="12541" width="3.5" style="23" customWidth="1"/>
    <col min="12542" max="12543" width="12.625" style="23" customWidth="1"/>
    <col min="12544" max="12544" width="9" style="23"/>
    <col min="12545" max="12545" width="7.75" style="23" customWidth="1"/>
    <col min="12546" max="12546" width="13.125" style="23" customWidth="1"/>
    <col min="12547" max="12547" width="6.125" style="23" customWidth="1"/>
    <col min="12548" max="12548" width="9.75" style="23" customWidth="1"/>
    <col min="12549" max="12549" width="1.375" style="23" customWidth="1"/>
    <col min="12550" max="12789" width="9" style="23"/>
    <col min="12790" max="12790" width="1.375" style="23" customWidth="1"/>
    <col min="12791" max="12791" width="3.5" style="23" customWidth="1"/>
    <col min="12792" max="12792" width="22.125" style="23" customWidth="1"/>
    <col min="12793" max="12793" width="9.75" style="23" customWidth="1"/>
    <col min="12794" max="12794" width="7.375" style="23" customWidth="1"/>
    <col min="12795" max="12795" width="9" style="23"/>
    <col min="12796" max="12796" width="9.25" style="23" customWidth="1"/>
    <col min="12797" max="12797" width="3.5" style="23" customWidth="1"/>
    <col min="12798" max="12799" width="12.625" style="23" customWidth="1"/>
    <col min="12800" max="12800" width="9" style="23"/>
    <col min="12801" max="12801" width="7.75" style="23" customWidth="1"/>
    <col min="12802" max="12802" width="13.125" style="23" customWidth="1"/>
    <col min="12803" max="12803" width="6.125" style="23" customWidth="1"/>
    <col min="12804" max="12804" width="9.75" style="23" customWidth="1"/>
    <col min="12805" max="12805" width="1.375" style="23" customWidth="1"/>
    <col min="12806" max="13045" width="9" style="23"/>
    <col min="13046" max="13046" width="1.375" style="23" customWidth="1"/>
    <col min="13047" max="13047" width="3.5" style="23" customWidth="1"/>
    <col min="13048" max="13048" width="22.125" style="23" customWidth="1"/>
    <col min="13049" max="13049" width="9.75" style="23" customWidth="1"/>
    <col min="13050" max="13050" width="7.375" style="23" customWidth="1"/>
    <col min="13051" max="13051" width="9" style="23"/>
    <col min="13052" max="13052" width="9.25" style="23" customWidth="1"/>
    <col min="13053" max="13053" width="3.5" style="23" customWidth="1"/>
    <col min="13054" max="13055" width="12.625" style="23" customWidth="1"/>
    <col min="13056" max="13056" width="9" style="23"/>
    <col min="13057" max="13057" width="7.75" style="23" customWidth="1"/>
    <col min="13058" max="13058" width="13.125" style="23" customWidth="1"/>
    <col min="13059" max="13059" width="6.125" style="23" customWidth="1"/>
    <col min="13060" max="13060" width="9.75" style="23" customWidth="1"/>
    <col min="13061" max="13061" width="1.375" style="23" customWidth="1"/>
    <col min="13062" max="13301" width="9" style="23"/>
    <col min="13302" max="13302" width="1.375" style="23" customWidth="1"/>
    <col min="13303" max="13303" width="3.5" style="23" customWidth="1"/>
    <col min="13304" max="13304" width="22.125" style="23" customWidth="1"/>
    <col min="13305" max="13305" width="9.75" style="23" customWidth="1"/>
    <col min="13306" max="13306" width="7.375" style="23" customWidth="1"/>
    <col min="13307" max="13307" width="9" style="23"/>
    <col min="13308" max="13308" width="9.25" style="23" customWidth="1"/>
    <col min="13309" max="13309" width="3.5" style="23" customWidth="1"/>
    <col min="13310" max="13311" width="12.625" style="23" customWidth="1"/>
    <col min="13312" max="13312" width="9" style="23"/>
    <col min="13313" max="13313" width="7.75" style="23" customWidth="1"/>
    <col min="13314" max="13314" width="13.125" style="23" customWidth="1"/>
    <col min="13315" max="13315" width="6.125" style="23" customWidth="1"/>
    <col min="13316" max="13316" width="9.75" style="23" customWidth="1"/>
    <col min="13317" max="13317" width="1.375" style="23" customWidth="1"/>
    <col min="13318" max="13557" width="9" style="23"/>
    <col min="13558" max="13558" width="1.375" style="23" customWidth="1"/>
    <col min="13559" max="13559" width="3.5" style="23" customWidth="1"/>
    <col min="13560" max="13560" width="22.125" style="23" customWidth="1"/>
    <col min="13561" max="13561" width="9.75" style="23" customWidth="1"/>
    <col min="13562" max="13562" width="7.375" style="23" customWidth="1"/>
    <col min="13563" max="13563" width="9" style="23"/>
    <col min="13564" max="13564" width="9.25" style="23" customWidth="1"/>
    <col min="13565" max="13565" width="3.5" style="23" customWidth="1"/>
    <col min="13566" max="13567" width="12.625" style="23" customWidth="1"/>
    <col min="13568" max="13568" width="9" style="23"/>
    <col min="13569" max="13569" width="7.75" style="23" customWidth="1"/>
    <col min="13570" max="13570" width="13.125" style="23" customWidth="1"/>
    <col min="13571" max="13571" width="6.125" style="23" customWidth="1"/>
    <col min="13572" max="13572" width="9.75" style="23" customWidth="1"/>
    <col min="13573" max="13573" width="1.375" style="23" customWidth="1"/>
    <col min="13574" max="13813" width="9" style="23"/>
    <col min="13814" max="13814" width="1.375" style="23" customWidth="1"/>
    <col min="13815" max="13815" width="3.5" style="23" customWidth="1"/>
    <col min="13816" max="13816" width="22.125" style="23" customWidth="1"/>
    <col min="13817" max="13817" width="9.75" style="23" customWidth="1"/>
    <col min="13818" max="13818" width="7.375" style="23" customWidth="1"/>
    <col min="13819" max="13819" width="9" style="23"/>
    <col min="13820" max="13820" width="9.25" style="23" customWidth="1"/>
    <col min="13821" max="13821" width="3.5" style="23" customWidth="1"/>
    <col min="13822" max="13823" width="12.625" style="23" customWidth="1"/>
    <col min="13824" max="13824" width="9" style="23"/>
    <col min="13825" max="13825" width="7.75" style="23" customWidth="1"/>
    <col min="13826" max="13826" width="13.125" style="23" customWidth="1"/>
    <col min="13827" max="13827" width="6.125" style="23" customWidth="1"/>
    <col min="13828" max="13828" width="9.75" style="23" customWidth="1"/>
    <col min="13829" max="13829" width="1.375" style="23" customWidth="1"/>
    <col min="13830" max="14069" width="9" style="23"/>
    <col min="14070" max="14070" width="1.375" style="23" customWidth="1"/>
    <col min="14071" max="14071" width="3.5" style="23" customWidth="1"/>
    <col min="14072" max="14072" width="22.125" style="23" customWidth="1"/>
    <col min="14073" max="14073" width="9.75" style="23" customWidth="1"/>
    <col min="14074" max="14074" width="7.375" style="23" customWidth="1"/>
    <col min="14075" max="14075" width="9" style="23"/>
    <col min="14076" max="14076" width="9.25" style="23" customWidth="1"/>
    <col min="14077" max="14077" width="3.5" style="23" customWidth="1"/>
    <col min="14078" max="14079" width="12.625" style="23" customWidth="1"/>
    <col min="14080" max="14080" width="9" style="23"/>
    <col min="14081" max="14081" width="7.75" style="23" customWidth="1"/>
    <col min="14082" max="14082" width="13.125" style="23" customWidth="1"/>
    <col min="14083" max="14083" width="6.125" style="23" customWidth="1"/>
    <col min="14084" max="14084" width="9.75" style="23" customWidth="1"/>
    <col min="14085" max="14085" width="1.375" style="23" customWidth="1"/>
    <col min="14086" max="14325" width="9" style="23"/>
    <col min="14326" max="14326" width="1.375" style="23" customWidth="1"/>
    <col min="14327" max="14327" width="3.5" style="23" customWidth="1"/>
    <col min="14328" max="14328" width="22.125" style="23" customWidth="1"/>
    <col min="14329" max="14329" width="9.75" style="23" customWidth="1"/>
    <col min="14330" max="14330" width="7.375" style="23" customWidth="1"/>
    <col min="14331" max="14331" width="9" style="23"/>
    <col min="14332" max="14332" width="9.25" style="23" customWidth="1"/>
    <col min="14333" max="14333" width="3.5" style="23" customWidth="1"/>
    <col min="14334" max="14335" width="12.625" style="23" customWidth="1"/>
    <col min="14336" max="14336" width="9" style="23"/>
    <col min="14337" max="14337" width="7.75" style="23" customWidth="1"/>
    <col min="14338" max="14338" width="13.125" style="23" customWidth="1"/>
    <col min="14339" max="14339" width="6.125" style="23" customWidth="1"/>
    <col min="14340" max="14340" width="9.75" style="23" customWidth="1"/>
    <col min="14341" max="14341" width="1.375" style="23" customWidth="1"/>
    <col min="14342" max="14581" width="9" style="23"/>
    <col min="14582" max="14582" width="1.375" style="23" customWidth="1"/>
    <col min="14583" max="14583" width="3.5" style="23" customWidth="1"/>
    <col min="14584" max="14584" width="22.125" style="23" customWidth="1"/>
    <col min="14585" max="14585" width="9.75" style="23" customWidth="1"/>
    <col min="14586" max="14586" width="7.375" style="23" customWidth="1"/>
    <col min="14587" max="14587" width="9" style="23"/>
    <col min="14588" max="14588" width="9.25" style="23" customWidth="1"/>
    <col min="14589" max="14589" width="3.5" style="23" customWidth="1"/>
    <col min="14590" max="14591" width="12.625" style="23" customWidth="1"/>
    <col min="14592" max="14592" width="9" style="23"/>
    <col min="14593" max="14593" width="7.75" style="23" customWidth="1"/>
    <col min="14594" max="14594" width="13.125" style="23" customWidth="1"/>
    <col min="14595" max="14595" width="6.125" style="23" customWidth="1"/>
    <col min="14596" max="14596" width="9.75" style="23" customWidth="1"/>
    <col min="14597" max="14597" width="1.375" style="23" customWidth="1"/>
    <col min="14598" max="14837" width="9" style="23"/>
    <col min="14838" max="14838" width="1.375" style="23" customWidth="1"/>
    <col min="14839" max="14839" width="3.5" style="23" customWidth="1"/>
    <col min="14840" max="14840" width="22.125" style="23" customWidth="1"/>
    <col min="14841" max="14841" width="9.75" style="23" customWidth="1"/>
    <col min="14842" max="14842" width="7.375" style="23" customWidth="1"/>
    <col min="14843" max="14843" width="9" style="23"/>
    <col min="14844" max="14844" width="9.25" style="23" customWidth="1"/>
    <col min="14845" max="14845" width="3.5" style="23" customWidth="1"/>
    <col min="14846" max="14847" width="12.625" style="23" customWidth="1"/>
    <col min="14848" max="14848" width="9" style="23"/>
    <col min="14849" max="14849" width="7.75" style="23" customWidth="1"/>
    <col min="14850" max="14850" width="13.125" style="23" customWidth="1"/>
    <col min="14851" max="14851" width="6.125" style="23" customWidth="1"/>
    <col min="14852" max="14852" width="9.75" style="23" customWidth="1"/>
    <col min="14853" max="14853" width="1.375" style="23" customWidth="1"/>
    <col min="14854" max="15093" width="9" style="23"/>
    <col min="15094" max="15094" width="1.375" style="23" customWidth="1"/>
    <col min="15095" max="15095" width="3.5" style="23" customWidth="1"/>
    <col min="15096" max="15096" width="22.125" style="23" customWidth="1"/>
    <col min="15097" max="15097" width="9.75" style="23" customWidth="1"/>
    <col min="15098" max="15098" width="7.375" style="23" customWidth="1"/>
    <col min="15099" max="15099" width="9" style="23"/>
    <col min="15100" max="15100" width="9.25" style="23" customWidth="1"/>
    <col min="15101" max="15101" width="3.5" style="23" customWidth="1"/>
    <col min="15102" max="15103" width="12.625" style="23" customWidth="1"/>
    <col min="15104" max="15104" width="9" style="23"/>
    <col min="15105" max="15105" width="7.75" style="23" customWidth="1"/>
    <col min="15106" max="15106" width="13.125" style="23" customWidth="1"/>
    <col min="15107" max="15107" width="6.125" style="23" customWidth="1"/>
    <col min="15108" max="15108" width="9.75" style="23" customWidth="1"/>
    <col min="15109" max="15109" width="1.375" style="23" customWidth="1"/>
    <col min="15110" max="15349" width="9" style="23"/>
    <col min="15350" max="15350" width="1.375" style="23" customWidth="1"/>
    <col min="15351" max="15351" width="3.5" style="23" customWidth="1"/>
    <col min="15352" max="15352" width="22.125" style="23" customWidth="1"/>
    <col min="15353" max="15353" width="9.75" style="23" customWidth="1"/>
    <col min="15354" max="15354" width="7.375" style="23" customWidth="1"/>
    <col min="15355" max="15355" width="9" style="23"/>
    <col min="15356" max="15356" width="9.25" style="23" customWidth="1"/>
    <col min="15357" max="15357" width="3.5" style="23" customWidth="1"/>
    <col min="15358" max="15359" width="12.625" style="23" customWidth="1"/>
    <col min="15360" max="15360" width="9" style="23"/>
    <col min="15361" max="15361" width="7.75" style="23" customWidth="1"/>
    <col min="15362" max="15362" width="13.125" style="23" customWidth="1"/>
    <col min="15363" max="15363" width="6.125" style="23" customWidth="1"/>
    <col min="15364" max="15364" width="9.75" style="23" customWidth="1"/>
    <col min="15365" max="15365" width="1.375" style="23" customWidth="1"/>
    <col min="15366" max="15605" width="9" style="23"/>
    <col min="15606" max="15606" width="1.375" style="23" customWidth="1"/>
    <col min="15607" max="15607" width="3.5" style="23" customWidth="1"/>
    <col min="15608" max="15608" width="22.125" style="23" customWidth="1"/>
    <col min="15609" max="15609" width="9.75" style="23" customWidth="1"/>
    <col min="15610" max="15610" width="7.375" style="23" customWidth="1"/>
    <col min="15611" max="15611" width="9" style="23"/>
    <col min="15612" max="15612" width="9.25" style="23" customWidth="1"/>
    <col min="15613" max="15613" width="3.5" style="23" customWidth="1"/>
    <col min="15614" max="15615" width="12.625" style="23" customWidth="1"/>
    <col min="15616" max="15616" width="9" style="23"/>
    <col min="15617" max="15617" width="7.75" style="23" customWidth="1"/>
    <col min="15618" max="15618" width="13.125" style="23" customWidth="1"/>
    <col min="15619" max="15619" width="6.125" style="23" customWidth="1"/>
    <col min="15620" max="15620" width="9.75" style="23" customWidth="1"/>
    <col min="15621" max="15621" width="1.375" style="23" customWidth="1"/>
    <col min="15622" max="15861" width="9" style="23"/>
    <col min="15862" max="15862" width="1.375" style="23" customWidth="1"/>
    <col min="15863" max="15863" width="3.5" style="23" customWidth="1"/>
    <col min="15864" max="15864" width="22.125" style="23" customWidth="1"/>
    <col min="15865" max="15865" width="9.75" style="23" customWidth="1"/>
    <col min="15866" max="15866" width="7.375" style="23" customWidth="1"/>
    <col min="15867" max="15867" width="9" style="23"/>
    <col min="15868" max="15868" width="9.25" style="23" customWidth="1"/>
    <col min="15869" max="15869" width="3.5" style="23" customWidth="1"/>
    <col min="15870" max="15871" width="12.625" style="23" customWidth="1"/>
    <col min="15872" max="15872" width="9" style="23"/>
    <col min="15873" max="15873" width="7.75" style="23" customWidth="1"/>
    <col min="15874" max="15874" width="13.125" style="23" customWidth="1"/>
    <col min="15875" max="15875" width="6.125" style="23" customWidth="1"/>
    <col min="15876" max="15876" width="9.75" style="23" customWidth="1"/>
    <col min="15877" max="15877" width="1.375" style="23" customWidth="1"/>
    <col min="15878" max="16117" width="9" style="23"/>
    <col min="16118" max="16118" width="1.375" style="23" customWidth="1"/>
    <col min="16119" max="16119" width="3.5" style="23" customWidth="1"/>
    <col min="16120" max="16120" width="22.125" style="23" customWidth="1"/>
    <col min="16121" max="16121" width="9.75" style="23" customWidth="1"/>
    <col min="16122" max="16122" width="7.375" style="23" customWidth="1"/>
    <col min="16123" max="16123" width="9" style="23"/>
    <col min="16124" max="16124" width="9.25" style="23" customWidth="1"/>
    <col min="16125" max="16125" width="3.5" style="23" customWidth="1"/>
    <col min="16126" max="16127" width="12.625" style="23" customWidth="1"/>
    <col min="16128" max="16128" width="9" style="23"/>
    <col min="16129" max="16129" width="7.75" style="23" customWidth="1"/>
    <col min="16130" max="16130" width="13.125" style="23" customWidth="1"/>
    <col min="16131" max="16131" width="6.125" style="23" customWidth="1"/>
    <col min="16132" max="16132" width="9.75" style="23" customWidth="1"/>
    <col min="16133" max="16133" width="1.375" style="23" customWidth="1"/>
    <col min="16134" max="16384" width="9" style="23"/>
  </cols>
  <sheetData>
    <row r="1" spans="2:22" ht="9.9499999999999993" customHeight="1"/>
    <row r="2" spans="2:22" ht="24.95" customHeight="1">
      <c r="B2" s="23" t="s">
        <v>547</v>
      </c>
      <c r="C2" s="25"/>
      <c r="D2" s="3"/>
      <c r="E2" s="3"/>
      <c r="F2" s="25"/>
      <c r="G2" s="84"/>
      <c r="H2" s="94"/>
      <c r="I2" s="84"/>
      <c r="J2" s="84"/>
      <c r="K2" s="84"/>
      <c r="L2" s="84"/>
      <c r="M2" s="84"/>
      <c r="N2" s="84"/>
      <c r="O2" s="3"/>
    </row>
    <row r="3" spans="2:22" ht="15" customHeight="1" thickBot="1">
      <c r="B3" s="23" t="s">
        <v>156</v>
      </c>
      <c r="I3" s="3" t="s">
        <v>157</v>
      </c>
      <c r="P3" s="142" t="s">
        <v>176</v>
      </c>
    </row>
    <row r="4" spans="2:22" ht="15" customHeight="1">
      <c r="B4" s="220" t="s">
        <v>69</v>
      </c>
      <c r="C4" s="130" t="s">
        <v>132</v>
      </c>
      <c r="D4" s="130" t="s">
        <v>105</v>
      </c>
      <c r="E4" s="130" t="s">
        <v>106</v>
      </c>
      <c r="F4" s="130" t="s">
        <v>21</v>
      </c>
      <c r="G4" s="118" t="s">
        <v>107</v>
      </c>
      <c r="H4" s="131"/>
      <c r="I4" s="852" t="s">
        <v>69</v>
      </c>
      <c r="J4" s="844" t="s">
        <v>135</v>
      </c>
      <c r="K4" s="531" t="s">
        <v>215</v>
      </c>
      <c r="L4" s="531" t="s">
        <v>108</v>
      </c>
      <c r="M4" s="844" t="s">
        <v>21</v>
      </c>
      <c r="N4" s="846" t="s">
        <v>107</v>
      </c>
      <c r="O4" s="152"/>
      <c r="P4" s="221" t="s">
        <v>138</v>
      </c>
      <c r="Q4" s="222" t="s">
        <v>139</v>
      </c>
      <c r="R4" s="222" t="s">
        <v>140</v>
      </c>
      <c r="S4" s="222" t="s">
        <v>141</v>
      </c>
      <c r="T4" s="854"/>
      <c r="U4" s="786"/>
      <c r="V4" s="223" t="s">
        <v>142</v>
      </c>
    </row>
    <row r="5" spans="2:22" ht="15" customHeight="1">
      <c r="B5" s="744" t="s">
        <v>128</v>
      </c>
      <c r="C5" s="22" t="s">
        <v>445</v>
      </c>
      <c r="D5" s="22">
        <v>2</v>
      </c>
      <c r="E5" s="29" t="s">
        <v>131</v>
      </c>
      <c r="F5" s="22">
        <v>5000</v>
      </c>
      <c r="G5" s="119">
        <f t="shared" ref="G5:G6" si="0">D5*F5</f>
        <v>10000</v>
      </c>
      <c r="H5" s="132"/>
      <c r="I5" s="853"/>
      <c r="J5" s="845"/>
      <c r="K5" s="532" t="s">
        <v>109</v>
      </c>
      <c r="L5" s="532" t="s">
        <v>216</v>
      </c>
      <c r="M5" s="845"/>
      <c r="N5" s="847"/>
      <c r="O5" s="152"/>
      <c r="P5" s="224" t="s">
        <v>437</v>
      </c>
      <c r="Q5" s="117">
        <v>5</v>
      </c>
      <c r="R5" s="150" t="s">
        <v>438</v>
      </c>
      <c r="S5" s="117">
        <v>317</v>
      </c>
      <c r="T5" s="842"/>
      <c r="U5" s="843"/>
      <c r="V5" s="145">
        <f>+Q5*S5</f>
        <v>1585</v>
      </c>
    </row>
    <row r="6" spans="2:22" ht="15" customHeight="1">
      <c r="B6" s="745"/>
      <c r="C6" s="22"/>
      <c r="D6" s="22"/>
      <c r="E6" s="29"/>
      <c r="F6" s="22"/>
      <c r="G6" s="120">
        <f t="shared" si="0"/>
        <v>0</v>
      </c>
      <c r="H6" s="132"/>
      <c r="I6" s="855" t="s">
        <v>134</v>
      </c>
      <c r="J6" s="22" t="s">
        <v>442</v>
      </c>
      <c r="K6" s="137">
        <v>11</v>
      </c>
      <c r="L6" s="137">
        <v>6</v>
      </c>
      <c r="M6" s="137">
        <v>84.7</v>
      </c>
      <c r="N6" s="120">
        <f>K6*L6*M6</f>
        <v>5590.2</v>
      </c>
      <c r="O6" s="152"/>
      <c r="P6" s="224" t="s">
        <v>440</v>
      </c>
      <c r="Q6" s="117">
        <v>2</v>
      </c>
      <c r="R6" s="150" t="s">
        <v>436</v>
      </c>
      <c r="S6" s="117">
        <v>27</v>
      </c>
      <c r="T6" s="842"/>
      <c r="U6" s="843"/>
      <c r="V6" s="145">
        <f t="shared" ref="V6:V10" si="1">+Q6*S6</f>
        <v>54</v>
      </c>
    </row>
    <row r="7" spans="2:22" ht="15" customHeight="1" thickBot="1">
      <c r="B7" s="850"/>
      <c r="C7" s="121" t="s">
        <v>110</v>
      </c>
      <c r="D7" s="121"/>
      <c r="E7" s="121"/>
      <c r="F7" s="121"/>
      <c r="G7" s="122">
        <f>SUM(G5:G6)</f>
        <v>10000</v>
      </c>
      <c r="H7" s="132"/>
      <c r="I7" s="745"/>
      <c r="J7" s="22" t="s">
        <v>422</v>
      </c>
      <c r="K7" s="137">
        <f>0.25*16</f>
        <v>4</v>
      </c>
      <c r="L7" s="137">
        <v>6</v>
      </c>
      <c r="M7" s="137">
        <v>84.7</v>
      </c>
      <c r="N7" s="120">
        <f t="shared" ref="N7:N9" si="2">K7*L7*M7</f>
        <v>2032.8000000000002</v>
      </c>
      <c r="O7" s="152"/>
      <c r="P7" s="224" t="s">
        <v>441</v>
      </c>
      <c r="Q7" s="117">
        <v>30</v>
      </c>
      <c r="R7" s="150" t="s">
        <v>436</v>
      </c>
      <c r="S7" s="117">
        <v>600</v>
      </c>
      <c r="T7" s="842"/>
      <c r="U7" s="843"/>
      <c r="V7" s="145">
        <f t="shared" si="1"/>
        <v>18000</v>
      </c>
    </row>
    <row r="8" spans="2:22" ht="15" customHeight="1" thickTop="1">
      <c r="B8" s="849" t="s">
        <v>126</v>
      </c>
      <c r="C8" s="22" t="s">
        <v>605</v>
      </c>
      <c r="D8" s="22">
        <v>40</v>
      </c>
      <c r="E8" s="29" t="s">
        <v>444</v>
      </c>
      <c r="F8" s="22">
        <f>+肥料算出基礎!G10</f>
        <v>34.549999999999997</v>
      </c>
      <c r="G8" s="120">
        <f>D8*F8</f>
        <v>1382</v>
      </c>
      <c r="H8" s="132"/>
      <c r="I8" s="745"/>
      <c r="J8" s="22" t="s">
        <v>332</v>
      </c>
      <c r="K8" s="137">
        <v>2</v>
      </c>
      <c r="L8" s="137">
        <v>4</v>
      </c>
      <c r="M8" s="137">
        <v>116.8</v>
      </c>
      <c r="N8" s="120">
        <f t="shared" si="2"/>
        <v>934.4</v>
      </c>
      <c r="O8" s="152"/>
      <c r="P8" s="224" t="s">
        <v>524</v>
      </c>
      <c r="Q8" s="117">
        <v>4</v>
      </c>
      <c r="R8" s="150" t="s">
        <v>525</v>
      </c>
      <c r="S8" s="117">
        <v>1200</v>
      </c>
      <c r="T8" s="842"/>
      <c r="U8" s="843"/>
      <c r="V8" s="145">
        <f t="shared" si="1"/>
        <v>4800</v>
      </c>
    </row>
    <row r="9" spans="2:22" ht="15" customHeight="1">
      <c r="B9" s="745"/>
      <c r="C9" s="22"/>
      <c r="D9" s="22"/>
      <c r="E9" s="29"/>
      <c r="F9" s="22"/>
      <c r="G9" s="120"/>
      <c r="H9" s="132"/>
      <c r="I9" s="745"/>
      <c r="J9" s="22"/>
      <c r="K9" s="137"/>
      <c r="L9" s="137"/>
      <c r="M9" s="137"/>
      <c r="N9" s="120">
        <f t="shared" si="2"/>
        <v>0</v>
      </c>
      <c r="O9" s="152"/>
      <c r="P9" s="224" t="s">
        <v>526</v>
      </c>
      <c r="Q9" s="117">
        <v>3</v>
      </c>
      <c r="R9" s="150" t="s">
        <v>525</v>
      </c>
      <c r="S9" s="117">
        <v>400</v>
      </c>
      <c r="T9" s="842"/>
      <c r="U9" s="843"/>
      <c r="V9" s="145">
        <f t="shared" si="1"/>
        <v>1200</v>
      </c>
    </row>
    <row r="10" spans="2:22" ht="15" customHeight="1" thickBot="1">
      <c r="B10" s="745"/>
      <c r="C10" s="22"/>
      <c r="D10" s="22"/>
      <c r="E10" s="29" t="s">
        <v>410</v>
      </c>
      <c r="F10" s="22"/>
      <c r="G10" s="120">
        <f>D10*F10</f>
        <v>0</v>
      </c>
      <c r="H10" s="132"/>
      <c r="I10" s="850"/>
      <c r="J10" s="225" t="s">
        <v>179</v>
      </c>
      <c r="K10" s="138">
        <f t="shared" ref="K10:L10" si="3">SUM(K6:K9)</f>
        <v>17</v>
      </c>
      <c r="L10" s="138">
        <f t="shared" si="3"/>
        <v>16</v>
      </c>
      <c r="M10" s="138"/>
      <c r="N10" s="135">
        <f>SUM(N6:N9)</f>
        <v>8557.4</v>
      </c>
      <c r="O10" s="152"/>
      <c r="P10" s="224" t="s">
        <v>527</v>
      </c>
      <c r="Q10" s="117">
        <v>1</v>
      </c>
      <c r="R10" s="150" t="s">
        <v>528</v>
      </c>
      <c r="S10" s="117">
        <v>200</v>
      </c>
      <c r="T10" s="842"/>
      <c r="U10" s="843"/>
      <c r="V10" s="145">
        <f t="shared" si="1"/>
        <v>200</v>
      </c>
    </row>
    <row r="11" spans="2:22" ht="15" customHeight="1" thickTop="1" thickBot="1">
      <c r="B11" s="850"/>
      <c r="C11" s="123" t="s">
        <v>111</v>
      </c>
      <c r="D11" s="124"/>
      <c r="E11" s="124"/>
      <c r="F11" s="124"/>
      <c r="G11" s="125">
        <f>SUM(G8:G10)</f>
        <v>1382</v>
      </c>
      <c r="H11" s="132"/>
      <c r="I11" s="849" t="s">
        <v>180</v>
      </c>
      <c r="J11" s="22" t="s">
        <v>564</v>
      </c>
      <c r="K11" s="137">
        <v>4</v>
      </c>
      <c r="L11" s="137">
        <v>2</v>
      </c>
      <c r="M11" s="137">
        <v>158.4</v>
      </c>
      <c r="N11" s="120">
        <f t="shared" ref="N11" si="4">K11*L11*M11</f>
        <v>1267.2</v>
      </c>
      <c r="O11" s="152"/>
      <c r="P11" s="224"/>
      <c r="Q11" s="117"/>
      <c r="R11" s="150"/>
      <c r="S11" s="117"/>
      <c r="T11" s="842"/>
      <c r="U11" s="843"/>
      <c r="V11" s="145"/>
    </row>
    <row r="12" spans="2:22" ht="15" customHeight="1" thickTop="1">
      <c r="B12" s="849" t="s">
        <v>127</v>
      </c>
      <c r="C12" s="22" t="s">
        <v>446</v>
      </c>
      <c r="D12" s="22"/>
      <c r="E12" s="29"/>
      <c r="F12" s="22"/>
      <c r="G12" s="120">
        <f>+G16</f>
        <v>27370</v>
      </c>
      <c r="H12" s="132"/>
      <c r="I12" s="745"/>
      <c r="J12" s="22"/>
      <c r="K12" s="137"/>
      <c r="L12" s="137"/>
      <c r="M12" s="137"/>
      <c r="N12" s="120"/>
      <c r="O12" s="152"/>
      <c r="P12" s="224"/>
      <c r="Q12" s="117"/>
      <c r="R12" s="150"/>
      <c r="S12" s="117"/>
      <c r="T12" s="842"/>
      <c r="U12" s="843"/>
      <c r="V12" s="145"/>
    </row>
    <row r="13" spans="2:22" ht="15" customHeight="1">
      <c r="B13" s="745"/>
      <c r="C13" s="22"/>
      <c r="D13" s="22"/>
      <c r="E13" s="29"/>
      <c r="F13" s="22"/>
      <c r="G13" s="120"/>
      <c r="H13" s="132"/>
      <c r="I13" s="745"/>
      <c r="J13" s="22"/>
      <c r="K13" s="137"/>
      <c r="L13" s="137"/>
      <c r="M13" s="137"/>
      <c r="N13" s="120">
        <f t="shared" ref="N13:N14" si="5">K13*L13*M13</f>
        <v>0</v>
      </c>
      <c r="O13" s="152"/>
      <c r="P13" s="224"/>
      <c r="Q13" s="117"/>
      <c r="R13" s="150"/>
      <c r="S13" s="117"/>
      <c r="T13" s="842"/>
      <c r="U13" s="843"/>
      <c r="V13" s="145"/>
    </row>
    <row r="14" spans="2:22" ht="15" customHeight="1">
      <c r="B14" s="745"/>
      <c r="C14" s="22"/>
      <c r="D14" s="22"/>
      <c r="E14" s="29"/>
      <c r="F14" s="22"/>
      <c r="G14" s="120">
        <f>D14*F14</f>
        <v>0</v>
      </c>
      <c r="H14" s="132"/>
      <c r="I14" s="745"/>
      <c r="J14" s="22"/>
      <c r="K14" s="137"/>
      <c r="L14" s="137"/>
      <c r="M14" s="137"/>
      <c r="N14" s="120">
        <f t="shared" si="5"/>
        <v>0</v>
      </c>
      <c r="O14" s="152"/>
      <c r="P14" s="224"/>
      <c r="Q14" s="117"/>
      <c r="R14" s="150"/>
      <c r="S14" s="117"/>
      <c r="T14" s="842"/>
      <c r="U14" s="843"/>
      <c r="V14" s="145"/>
    </row>
    <row r="15" spans="2:22" ht="15" customHeight="1" thickBot="1">
      <c r="B15" s="745"/>
      <c r="C15" s="22"/>
      <c r="D15" s="22"/>
      <c r="E15" s="22"/>
      <c r="F15" s="22"/>
      <c r="G15" s="120">
        <f t="shared" ref="G15" si="6">D15*F15</f>
        <v>0</v>
      </c>
      <c r="H15" s="132"/>
      <c r="I15" s="850"/>
      <c r="J15" s="225" t="s">
        <v>179</v>
      </c>
      <c r="K15" s="138">
        <f t="shared" ref="K15" si="7">SUM(K11:K14)</f>
        <v>4</v>
      </c>
      <c r="L15" s="138">
        <f t="shared" ref="L15" si="8">SUM(L11:L14)</f>
        <v>2</v>
      </c>
      <c r="M15" s="138"/>
      <c r="N15" s="135">
        <f>SUM(N11:N14)</f>
        <v>1267.2</v>
      </c>
      <c r="O15" s="152"/>
      <c r="P15" s="224"/>
      <c r="Q15" s="117"/>
      <c r="R15" s="150"/>
      <c r="S15" s="117"/>
      <c r="T15" s="842"/>
      <c r="U15" s="843"/>
      <c r="V15" s="145"/>
    </row>
    <row r="16" spans="2:22" ht="15" customHeight="1" thickTop="1" thickBot="1">
      <c r="B16" s="850"/>
      <c r="C16" s="123" t="s">
        <v>111</v>
      </c>
      <c r="D16" s="124"/>
      <c r="E16" s="124"/>
      <c r="F16" s="124"/>
      <c r="G16" s="125">
        <f>+肥料算出基礎!H12-肥料算出基礎!H10-肥料算出基礎!H3</f>
        <v>27370</v>
      </c>
      <c r="H16" s="132"/>
      <c r="I16" s="849" t="s">
        <v>136</v>
      </c>
      <c r="J16" s="22"/>
      <c r="K16" s="137"/>
      <c r="L16" s="137"/>
      <c r="M16" s="137"/>
      <c r="N16" s="120"/>
      <c r="O16" s="152"/>
      <c r="P16" s="224"/>
      <c r="Q16" s="117"/>
      <c r="R16" s="270"/>
      <c r="S16" s="117"/>
      <c r="T16" s="842"/>
      <c r="U16" s="843"/>
      <c r="V16" s="145"/>
    </row>
    <row r="17" spans="2:22" ht="15" customHeight="1" thickTop="1">
      <c r="B17" s="849" t="s">
        <v>129</v>
      </c>
      <c r="C17" s="22"/>
      <c r="D17" s="22"/>
      <c r="E17" s="29"/>
      <c r="F17" s="22"/>
      <c r="G17" s="120"/>
      <c r="H17" s="132"/>
      <c r="I17" s="745"/>
      <c r="J17" s="22"/>
      <c r="K17" s="137"/>
      <c r="L17" s="137"/>
      <c r="M17" s="137"/>
      <c r="N17" s="120">
        <f t="shared" ref="N17:N18" si="9">K17*L17*M17</f>
        <v>0</v>
      </c>
      <c r="O17" s="152"/>
      <c r="P17" s="224"/>
      <c r="Q17" s="117"/>
      <c r="R17" s="270"/>
      <c r="S17" s="117"/>
      <c r="T17" s="842"/>
      <c r="U17" s="843"/>
      <c r="V17" s="145"/>
    </row>
    <row r="18" spans="2:22" ht="15" customHeight="1">
      <c r="B18" s="745"/>
      <c r="C18" s="22"/>
      <c r="D18" s="22"/>
      <c r="E18" s="29"/>
      <c r="F18" s="22"/>
      <c r="G18" s="120">
        <f>D18*F18</f>
        <v>0</v>
      </c>
      <c r="H18" s="132"/>
      <c r="I18" s="745"/>
      <c r="J18" s="22"/>
      <c r="K18" s="137"/>
      <c r="L18" s="137"/>
      <c r="M18" s="137"/>
      <c r="N18" s="120">
        <f t="shared" si="9"/>
        <v>0</v>
      </c>
      <c r="O18" s="152"/>
      <c r="P18" s="224"/>
      <c r="Q18" s="117"/>
      <c r="R18" s="150"/>
      <c r="S18" s="117"/>
      <c r="T18" s="842"/>
      <c r="U18" s="843"/>
      <c r="V18" s="145"/>
    </row>
    <row r="19" spans="2:22" ht="15" customHeight="1" thickBot="1">
      <c r="B19" s="745"/>
      <c r="C19" s="22"/>
      <c r="D19" s="22"/>
      <c r="E19" s="22"/>
      <c r="F19" s="22"/>
      <c r="G19" s="120">
        <f t="shared" ref="G19" si="10">D19*F19</f>
        <v>0</v>
      </c>
      <c r="H19" s="132"/>
      <c r="I19" s="850"/>
      <c r="J19" s="225" t="s">
        <v>181</v>
      </c>
      <c r="K19" s="138">
        <f>SUM(K16:K18)</f>
        <v>0</v>
      </c>
      <c r="L19" s="139">
        <f>SUM(L16:L18)</f>
        <v>0</v>
      </c>
      <c r="M19" s="140"/>
      <c r="N19" s="135">
        <f>SUM(N16:N18)</f>
        <v>0</v>
      </c>
      <c r="O19" s="152"/>
      <c r="P19" s="224"/>
      <c r="Q19" s="117"/>
      <c r="R19" s="150"/>
      <c r="S19" s="117"/>
      <c r="T19" s="842"/>
      <c r="U19" s="843"/>
      <c r="V19" s="145"/>
    </row>
    <row r="20" spans="2:22" ht="15" customHeight="1" thickTop="1" thickBot="1">
      <c r="B20" s="850"/>
      <c r="C20" s="123" t="s">
        <v>111</v>
      </c>
      <c r="D20" s="124"/>
      <c r="E20" s="124"/>
      <c r="F20" s="124"/>
      <c r="G20" s="125">
        <f>SUM(G17:G19)</f>
        <v>0</v>
      </c>
      <c r="H20" s="132"/>
      <c r="I20" s="849" t="s">
        <v>137</v>
      </c>
      <c r="J20" s="22"/>
      <c r="K20" s="137"/>
      <c r="L20" s="137"/>
      <c r="M20" s="137"/>
      <c r="N20" s="120"/>
      <c r="O20" s="152"/>
      <c r="P20" s="146" t="s">
        <v>26</v>
      </c>
      <c r="Q20" s="147"/>
      <c r="R20" s="147"/>
      <c r="S20" s="147"/>
      <c r="T20" s="848"/>
      <c r="U20" s="831"/>
      <c r="V20" s="148">
        <f>SUM(V5:V19)</f>
        <v>25839</v>
      </c>
    </row>
    <row r="21" spans="2:22" ht="15" customHeight="1" thickTop="1">
      <c r="B21" s="849" t="s">
        <v>130</v>
      </c>
      <c r="C21" s="22"/>
      <c r="D21" s="22"/>
      <c r="E21" s="29"/>
      <c r="F21" s="22"/>
      <c r="G21" s="120"/>
      <c r="H21" s="132"/>
      <c r="I21" s="745"/>
      <c r="J21" s="22"/>
      <c r="K21" s="137"/>
      <c r="L21" s="137"/>
      <c r="M21" s="137"/>
      <c r="N21" s="120">
        <f t="shared" ref="N21:N22" si="11">K21*L21*M21</f>
        <v>0</v>
      </c>
      <c r="O21" s="152"/>
    </row>
    <row r="22" spans="2:22" ht="15" customHeight="1" thickBot="1">
      <c r="B22" s="745"/>
      <c r="C22" s="22"/>
      <c r="D22" s="22"/>
      <c r="E22" s="29"/>
      <c r="F22" s="22"/>
      <c r="G22" s="120"/>
      <c r="H22" s="132"/>
      <c r="I22" s="745"/>
      <c r="J22" s="22"/>
      <c r="K22" s="137"/>
      <c r="L22" s="137"/>
      <c r="M22" s="137"/>
      <c r="N22" s="120">
        <f t="shared" si="11"/>
        <v>0</v>
      </c>
      <c r="O22" s="152"/>
      <c r="P22" s="142" t="s">
        <v>177</v>
      </c>
    </row>
    <row r="23" spans="2:22" ht="15" customHeight="1" thickBot="1">
      <c r="B23" s="745"/>
      <c r="C23" s="22"/>
      <c r="D23" s="22"/>
      <c r="E23" s="29"/>
      <c r="F23" s="22"/>
      <c r="G23" s="120"/>
      <c r="H23" s="132"/>
      <c r="I23" s="850"/>
      <c r="J23" s="225" t="s">
        <v>181</v>
      </c>
      <c r="K23" s="138">
        <f>SUM(K20:K22)</f>
        <v>0</v>
      </c>
      <c r="L23" s="139">
        <f>SUM(L20:L22)</f>
        <v>0</v>
      </c>
      <c r="M23" s="140"/>
      <c r="N23" s="135">
        <f>SUM(N20:N22)</f>
        <v>0</v>
      </c>
      <c r="O23" s="152"/>
      <c r="P23" s="477" t="s">
        <v>143</v>
      </c>
      <c r="Q23" s="490" t="s">
        <v>139</v>
      </c>
      <c r="R23" s="490" t="s">
        <v>140</v>
      </c>
      <c r="S23" s="490" t="s">
        <v>182</v>
      </c>
      <c r="T23" s="490" t="s">
        <v>550</v>
      </c>
      <c r="U23" s="478" t="s">
        <v>551</v>
      </c>
      <c r="V23" s="479" t="s">
        <v>142</v>
      </c>
    </row>
    <row r="24" spans="2:22" ht="15" customHeight="1" thickTop="1" thickBot="1">
      <c r="B24" s="851"/>
      <c r="C24" s="126" t="s">
        <v>113</v>
      </c>
      <c r="D24" s="127"/>
      <c r="E24" s="127"/>
      <c r="F24" s="134"/>
      <c r="G24" s="128">
        <f>SUM(G21:G23)</f>
        <v>0</v>
      </c>
      <c r="I24" s="849" t="s">
        <v>209</v>
      </c>
      <c r="J24" s="22"/>
      <c r="K24" s="137"/>
      <c r="L24" s="137"/>
      <c r="M24" s="137"/>
      <c r="N24" s="120"/>
      <c r="O24" s="152"/>
      <c r="P24" s="480" t="s">
        <v>430</v>
      </c>
      <c r="Q24" s="493">
        <v>0.1</v>
      </c>
      <c r="R24" s="283" t="s">
        <v>434</v>
      </c>
      <c r="S24" s="494">
        <v>1800</v>
      </c>
      <c r="T24" s="494"/>
      <c r="U24" s="489"/>
      <c r="V24" s="481">
        <f t="shared" ref="V24:V33" si="12">+Q24*S24</f>
        <v>180</v>
      </c>
    </row>
    <row r="25" spans="2:22" ht="15" customHeight="1">
      <c r="H25" s="133"/>
      <c r="I25" s="745"/>
      <c r="J25" s="22"/>
      <c r="K25" s="137"/>
      <c r="L25" s="137"/>
      <c r="M25" s="137"/>
      <c r="N25" s="120">
        <f t="shared" ref="N25:N26" si="13">K25*L25*M25</f>
        <v>0</v>
      </c>
      <c r="O25" s="152"/>
      <c r="P25" s="480" t="s">
        <v>431</v>
      </c>
      <c r="Q25" s="495">
        <v>1</v>
      </c>
      <c r="R25" s="283" t="s">
        <v>434</v>
      </c>
      <c r="S25" s="494">
        <v>850</v>
      </c>
      <c r="T25" s="494"/>
      <c r="U25" s="489"/>
      <c r="V25" s="481">
        <f t="shared" si="12"/>
        <v>850</v>
      </c>
    </row>
    <row r="26" spans="2:22" ht="15" customHeight="1" thickBot="1">
      <c r="B26" s="3" t="s">
        <v>183</v>
      </c>
      <c r="C26" s="3"/>
      <c r="D26" s="25"/>
      <c r="E26" s="3"/>
      <c r="F26" s="25"/>
      <c r="G26" s="26"/>
      <c r="H26" s="131"/>
      <c r="I26" s="745"/>
      <c r="J26" s="22"/>
      <c r="K26" s="137"/>
      <c r="L26" s="137"/>
      <c r="M26" s="137"/>
      <c r="N26" s="120">
        <f t="shared" si="13"/>
        <v>0</v>
      </c>
      <c r="O26" s="152"/>
      <c r="P26" s="480" t="s">
        <v>432</v>
      </c>
      <c r="Q26" s="496">
        <v>0.1</v>
      </c>
      <c r="R26" s="283" t="s">
        <v>435</v>
      </c>
      <c r="S26" s="494">
        <v>4000</v>
      </c>
      <c r="T26" s="494"/>
      <c r="U26" s="489"/>
      <c r="V26" s="481">
        <f t="shared" si="12"/>
        <v>400</v>
      </c>
    </row>
    <row r="27" spans="2:22" ht="15" customHeight="1" thickBot="1">
      <c r="B27" s="370" t="s">
        <v>69</v>
      </c>
      <c r="C27" s="130" t="s">
        <v>104</v>
      </c>
      <c r="D27" s="130" t="s">
        <v>105</v>
      </c>
      <c r="E27" s="130" t="s">
        <v>106</v>
      </c>
      <c r="F27" s="130" t="s">
        <v>21</v>
      </c>
      <c r="G27" s="118" t="s">
        <v>107</v>
      </c>
      <c r="H27" s="132"/>
      <c r="I27" s="850"/>
      <c r="J27" s="225" t="s">
        <v>179</v>
      </c>
      <c r="K27" s="138">
        <f>SUM(K24:K26)</f>
        <v>0</v>
      </c>
      <c r="L27" s="139">
        <f>SUM(L24:L26)</f>
        <v>0</v>
      </c>
      <c r="M27" s="140"/>
      <c r="N27" s="135">
        <f>SUM(N24:N26)</f>
        <v>0</v>
      </c>
      <c r="O27" s="152"/>
      <c r="P27" s="480" t="s">
        <v>433</v>
      </c>
      <c r="Q27" s="496">
        <v>0.01</v>
      </c>
      <c r="R27" s="283" t="s">
        <v>435</v>
      </c>
      <c r="S27" s="494">
        <v>5000</v>
      </c>
      <c r="T27" s="494"/>
      <c r="U27" s="489"/>
      <c r="V27" s="481">
        <f t="shared" si="12"/>
        <v>50</v>
      </c>
    </row>
    <row r="28" spans="2:22" ht="15" customHeight="1" thickTop="1">
      <c r="B28" s="817" t="s">
        <v>27</v>
      </c>
      <c r="C28" s="369" t="s">
        <v>606</v>
      </c>
      <c r="D28" s="22">
        <f>+農薬算出基礎!G3</f>
        <v>300</v>
      </c>
      <c r="E28" s="29" t="s">
        <v>312</v>
      </c>
      <c r="F28" s="368">
        <f>+G28/D28</f>
        <v>4.6479999999999997</v>
      </c>
      <c r="G28" s="119">
        <f>+農薬算出基礎!I3</f>
        <v>1394.3999999999999</v>
      </c>
      <c r="H28" s="132"/>
      <c r="I28" s="849" t="s">
        <v>133</v>
      </c>
      <c r="J28" s="22" t="s">
        <v>309</v>
      </c>
      <c r="K28" s="137">
        <v>60</v>
      </c>
      <c r="L28" s="137">
        <v>3.6</v>
      </c>
      <c r="M28" s="137">
        <v>14</v>
      </c>
      <c r="N28" s="120">
        <f>+M28*L28*K28</f>
        <v>3024</v>
      </c>
      <c r="O28" s="152"/>
      <c r="P28" s="482" t="s">
        <v>439</v>
      </c>
      <c r="Q28" s="497">
        <v>0.1</v>
      </c>
      <c r="R28" s="283" t="s">
        <v>435</v>
      </c>
      <c r="S28" s="494">
        <v>1500</v>
      </c>
      <c r="T28" s="494"/>
      <c r="U28" s="489"/>
      <c r="V28" s="481">
        <f t="shared" si="12"/>
        <v>150</v>
      </c>
    </row>
    <row r="29" spans="2:22" ht="15" customHeight="1">
      <c r="B29" s="817"/>
      <c r="C29" s="369" t="s">
        <v>607</v>
      </c>
      <c r="D29" s="22">
        <f>+農薬算出基礎!G4</f>
        <v>500</v>
      </c>
      <c r="E29" s="29" t="s">
        <v>312</v>
      </c>
      <c r="F29" s="368">
        <f t="shared" ref="F29:F42" si="14">+G29/D29</f>
        <v>1.3580000000000001</v>
      </c>
      <c r="G29" s="119">
        <f>+農薬算出基礎!I4</f>
        <v>679</v>
      </c>
      <c r="H29" s="132"/>
      <c r="I29" s="745"/>
      <c r="J29" s="22" t="s">
        <v>443</v>
      </c>
      <c r="K29" s="137">
        <f>12*60</f>
        <v>720</v>
      </c>
      <c r="L29" s="382">
        <f>0.006*10</f>
        <v>0.06</v>
      </c>
      <c r="M29" s="137">
        <v>14</v>
      </c>
      <c r="N29" s="120">
        <f>+M29*L29*K29</f>
        <v>604.79999999999995</v>
      </c>
      <c r="O29" s="24"/>
      <c r="P29" s="482" t="s">
        <v>522</v>
      </c>
      <c r="Q29" s="497">
        <v>0.1</v>
      </c>
      <c r="R29" s="283" t="s">
        <v>523</v>
      </c>
      <c r="S29" s="494">
        <v>6000</v>
      </c>
      <c r="T29" s="494"/>
      <c r="U29" s="489"/>
      <c r="V29" s="481">
        <f t="shared" si="12"/>
        <v>600</v>
      </c>
    </row>
    <row r="30" spans="2:22" ht="15" customHeight="1">
      <c r="B30" s="817"/>
      <c r="C30" s="369" t="s">
        <v>608</v>
      </c>
      <c r="D30" s="22">
        <f>+農薬算出基礎!G5</f>
        <v>166.66666666666666</v>
      </c>
      <c r="E30" s="29" t="s">
        <v>312</v>
      </c>
      <c r="F30" s="368">
        <f t="shared" si="14"/>
        <v>12.334</v>
      </c>
      <c r="G30" s="119">
        <f>+農薬算出基礎!I5</f>
        <v>2055.6666666666665</v>
      </c>
      <c r="H30" s="132"/>
      <c r="I30" s="745"/>
      <c r="J30" s="22"/>
      <c r="K30" s="137"/>
      <c r="L30" s="137"/>
      <c r="M30" s="137"/>
      <c r="N30" s="120">
        <f t="shared" ref="N30" si="15">K30*L30*M30</f>
        <v>0</v>
      </c>
      <c r="P30" s="488"/>
      <c r="Q30" s="494"/>
      <c r="R30" s="498"/>
      <c r="S30" s="494"/>
      <c r="T30" s="494"/>
      <c r="U30" s="489"/>
      <c r="V30" s="481">
        <f t="shared" si="12"/>
        <v>0</v>
      </c>
    </row>
    <row r="31" spans="2:22" ht="15" customHeight="1" thickBot="1">
      <c r="B31" s="817"/>
      <c r="C31" s="369" t="s">
        <v>609</v>
      </c>
      <c r="D31" s="22">
        <f>+農薬算出基礎!G6</f>
        <v>1000</v>
      </c>
      <c r="E31" s="29" t="s">
        <v>312</v>
      </c>
      <c r="F31" s="368">
        <f t="shared" si="14"/>
        <v>1.2825</v>
      </c>
      <c r="G31" s="119">
        <f>+農薬算出基礎!I6</f>
        <v>1282.5</v>
      </c>
      <c r="H31" s="132"/>
      <c r="I31" s="851"/>
      <c r="J31" s="226" t="s">
        <v>184</v>
      </c>
      <c r="K31" s="141">
        <f>SUM(K28:K30)</f>
        <v>780</v>
      </c>
      <c r="L31" s="143">
        <f>SUM(L28:L30)</f>
        <v>3.66</v>
      </c>
      <c r="M31" s="144"/>
      <c r="N31" s="136">
        <f>SUM(N28:N30)</f>
        <v>3628.8</v>
      </c>
      <c r="P31" s="482"/>
      <c r="Q31" s="497"/>
      <c r="R31" s="283"/>
      <c r="S31" s="494"/>
      <c r="T31" s="494"/>
      <c r="U31" s="489"/>
      <c r="V31" s="481">
        <f t="shared" si="12"/>
        <v>0</v>
      </c>
    </row>
    <row r="32" spans="2:22" ht="15" customHeight="1">
      <c r="B32" s="817"/>
      <c r="C32" s="369" t="s">
        <v>610</v>
      </c>
      <c r="D32" s="22">
        <f>+農薬算出基礎!G7</f>
        <v>500</v>
      </c>
      <c r="E32" s="29" t="s">
        <v>312</v>
      </c>
      <c r="F32" s="368">
        <f t="shared" si="14"/>
        <v>8.7360000000000007</v>
      </c>
      <c r="G32" s="119">
        <f>+農薬算出基礎!I7</f>
        <v>4368</v>
      </c>
      <c r="H32" s="132"/>
      <c r="I32" s="112"/>
      <c r="J32" s="112"/>
      <c r="K32" s="112"/>
      <c r="L32" s="112"/>
      <c r="M32" s="112"/>
      <c r="N32" s="112"/>
      <c r="P32" s="488"/>
      <c r="Q32" s="494"/>
      <c r="R32" s="498"/>
      <c r="S32" s="494"/>
      <c r="T32" s="494"/>
      <c r="U32" s="489"/>
      <c r="V32" s="481">
        <f t="shared" si="12"/>
        <v>0</v>
      </c>
    </row>
    <row r="33" spans="2:25" ht="15" customHeight="1" thickBot="1">
      <c r="B33" s="817"/>
      <c r="C33" s="369" t="s">
        <v>611</v>
      </c>
      <c r="D33" s="22">
        <f>+農薬算出基礎!G8</f>
        <v>166.66666666666666</v>
      </c>
      <c r="E33" s="29" t="s">
        <v>312</v>
      </c>
      <c r="F33" s="368">
        <f t="shared" si="14"/>
        <v>4.16</v>
      </c>
      <c r="G33" s="119">
        <f>+農薬算出基礎!I8</f>
        <v>693.33333333333337</v>
      </c>
      <c r="H33" s="132"/>
      <c r="I33" s="107" t="s">
        <v>175</v>
      </c>
      <c r="J33" s="103"/>
      <c r="K33" s="103"/>
      <c r="L33" s="103"/>
      <c r="M33" s="103"/>
      <c r="P33" s="483"/>
      <c r="Q33" s="491"/>
      <c r="R33" s="492"/>
      <c r="S33" s="491"/>
      <c r="T33" s="491"/>
      <c r="U33" s="274"/>
      <c r="V33" s="481">
        <f t="shared" si="12"/>
        <v>0</v>
      </c>
    </row>
    <row r="34" spans="2:25" ht="15" customHeight="1" thickBot="1">
      <c r="B34" s="817"/>
      <c r="C34" s="369" t="s">
        <v>612</v>
      </c>
      <c r="D34" s="22">
        <f>+農薬算出基礎!G9</f>
        <v>333.33333333333331</v>
      </c>
      <c r="E34" s="29" t="s">
        <v>312</v>
      </c>
      <c r="F34" s="368">
        <f t="shared" si="14"/>
        <v>4.7320000000000002</v>
      </c>
      <c r="G34" s="119">
        <f>+農薬算出基礎!I9</f>
        <v>1577.3333333333333</v>
      </c>
      <c r="H34" s="132"/>
      <c r="I34" s="201" t="s">
        <v>163</v>
      </c>
      <c r="J34" s="202" t="s">
        <v>3</v>
      </c>
      <c r="K34" s="856" t="s">
        <v>164</v>
      </c>
      <c r="L34" s="857"/>
      <c r="M34" s="264" t="s">
        <v>204</v>
      </c>
      <c r="N34" s="227" t="s">
        <v>185</v>
      </c>
      <c r="P34" s="484" t="s">
        <v>168</v>
      </c>
      <c r="Q34" s="485"/>
      <c r="R34" s="485"/>
      <c r="S34" s="485"/>
      <c r="T34" s="485"/>
      <c r="U34" s="486"/>
      <c r="V34" s="487">
        <f>SUM(V24:V33)</f>
        <v>2230</v>
      </c>
    </row>
    <row r="35" spans="2:25" ht="15" customHeight="1">
      <c r="B35" s="817"/>
      <c r="C35" s="369" t="s">
        <v>613</v>
      </c>
      <c r="D35" s="22">
        <f>+農薬算出基礎!G10</f>
        <v>625</v>
      </c>
      <c r="E35" s="29" t="s">
        <v>312</v>
      </c>
      <c r="F35" s="368">
        <f t="shared" si="14"/>
        <v>3.3559999999999999</v>
      </c>
      <c r="G35" s="119">
        <f>+農薬算出基礎!I10</f>
        <v>2097.5</v>
      </c>
      <c r="H35" s="132"/>
      <c r="I35" s="837" t="s">
        <v>0</v>
      </c>
      <c r="J35" s="129" t="str">
        <f>+'６　固定資本装備と減価償却費'!C5</f>
        <v>資材・農機具庫</v>
      </c>
      <c r="K35" s="832">
        <f>+'６　固定資本装備と減価償却費'!G5</f>
        <v>47520000</v>
      </c>
      <c r="L35" s="832"/>
      <c r="M35" s="200">
        <v>4000</v>
      </c>
      <c r="N35" s="215">
        <f>+K35/M35*10*0.014</f>
        <v>1663.2</v>
      </c>
    </row>
    <row r="36" spans="2:25" ht="15" customHeight="1" thickBot="1">
      <c r="B36" s="817"/>
      <c r="C36" s="369" t="s">
        <v>614</v>
      </c>
      <c r="D36" s="22">
        <f>+農薬算出基礎!G11</f>
        <v>125</v>
      </c>
      <c r="E36" s="29" t="s">
        <v>312</v>
      </c>
      <c r="F36" s="368">
        <f t="shared" si="14"/>
        <v>12.672000000000001</v>
      </c>
      <c r="G36" s="119">
        <f>+農薬算出基礎!I11</f>
        <v>1584</v>
      </c>
      <c r="H36" s="132"/>
      <c r="I36" s="838"/>
      <c r="J36" s="129" t="str">
        <f>+'６　固定資本装備と減価償却費'!C10</f>
        <v>事務所・休憩所</v>
      </c>
      <c r="K36" s="832">
        <f>+'６　固定資本装備と減価償却費'!G10</f>
        <v>29700000</v>
      </c>
      <c r="L36" s="832"/>
      <c r="M36" s="442">
        <v>4000</v>
      </c>
      <c r="N36" s="215">
        <f>+K36/M36*10*0.014</f>
        <v>1039.5</v>
      </c>
      <c r="P36" s="107" t="s">
        <v>169</v>
      </c>
      <c r="Q36" s="103"/>
      <c r="R36" s="103"/>
      <c r="S36" s="103"/>
      <c r="T36" s="103"/>
    </row>
    <row r="37" spans="2:25" ht="15" customHeight="1">
      <c r="B37" s="817"/>
      <c r="C37" s="369" t="s">
        <v>615</v>
      </c>
      <c r="D37" s="22">
        <f>+農薬算出基礎!G12</f>
        <v>333.33333333333331</v>
      </c>
      <c r="E37" s="29" t="s">
        <v>312</v>
      </c>
      <c r="F37" s="368">
        <f t="shared" si="14"/>
        <v>4.7320000000000002</v>
      </c>
      <c r="G37" s="119">
        <f>+農薬算出基礎!I12</f>
        <v>1577.3333333333333</v>
      </c>
      <c r="H37" s="132"/>
      <c r="I37" s="838"/>
      <c r="J37" s="129"/>
      <c r="K37" s="832"/>
      <c r="L37" s="832"/>
      <c r="M37" s="200"/>
      <c r="N37" s="215"/>
      <c r="O37" s="142"/>
      <c r="P37" s="201" t="s">
        <v>162</v>
      </c>
      <c r="Q37" s="858" t="s">
        <v>170</v>
      </c>
      <c r="R37" s="858"/>
      <c r="S37" s="214" t="s">
        <v>173</v>
      </c>
      <c r="T37" s="214" t="s">
        <v>172</v>
      </c>
      <c r="U37" s="263" t="s">
        <v>204</v>
      </c>
      <c r="V37" s="228" t="s">
        <v>185</v>
      </c>
      <c r="X37" s="526" t="s">
        <v>424</v>
      </c>
      <c r="Y37" s="526" t="s">
        <v>425</v>
      </c>
    </row>
    <row r="38" spans="2:25" ht="15" customHeight="1">
      <c r="B38" s="817"/>
      <c r="C38" s="369" t="s">
        <v>616</v>
      </c>
      <c r="D38" s="22">
        <f>+農薬算出基礎!G13</f>
        <v>500</v>
      </c>
      <c r="E38" s="29" t="s">
        <v>312</v>
      </c>
      <c r="F38" s="368">
        <f t="shared" si="14"/>
        <v>3.6640000000000001</v>
      </c>
      <c r="G38" s="119">
        <f>+農薬算出基礎!I13</f>
        <v>1832</v>
      </c>
      <c r="H38" s="132"/>
      <c r="I38" s="838"/>
      <c r="J38" s="129"/>
      <c r="K38" s="832"/>
      <c r="L38" s="832"/>
      <c r="M38" s="200"/>
      <c r="N38" s="215"/>
      <c r="O38" s="142"/>
      <c r="P38" s="840" t="s">
        <v>171</v>
      </c>
      <c r="Q38" s="207" t="s">
        <v>426</v>
      </c>
      <c r="R38" s="230" t="s">
        <v>427</v>
      </c>
      <c r="S38" s="208"/>
      <c r="T38" s="231" t="s">
        <v>410</v>
      </c>
      <c r="U38" s="208"/>
      <c r="V38" s="215">
        <v>5520</v>
      </c>
      <c r="W38" s="23" t="s">
        <v>423</v>
      </c>
      <c r="X38" s="526">
        <v>2974000</v>
      </c>
      <c r="Y38" s="526">
        <v>56.61</v>
      </c>
    </row>
    <row r="39" spans="2:25" ht="15" customHeight="1">
      <c r="B39" s="817"/>
      <c r="C39" s="369" t="s">
        <v>617</v>
      </c>
      <c r="D39" s="22">
        <f>+農薬算出基礎!G14</f>
        <v>833.33333333333337</v>
      </c>
      <c r="E39" s="29" t="s">
        <v>312</v>
      </c>
      <c r="F39" s="368">
        <f t="shared" si="14"/>
        <v>4.8659999999999997</v>
      </c>
      <c r="G39" s="119">
        <f>+農薬算出基礎!I14</f>
        <v>4055</v>
      </c>
      <c r="H39" s="132"/>
      <c r="I39" s="838"/>
      <c r="J39" s="129"/>
      <c r="K39" s="832"/>
      <c r="L39" s="832"/>
      <c r="M39" s="200"/>
      <c r="N39" s="215"/>
      <c r="O39" s="142"/>
      <c r="P39" s="828"/>
      <c r="Q39" s="207" t="s">
        <v>250</v>
      </c>
      <c r="R39" s="230" t="s">
        <v>427</v>
      </c>
      <c r="S39" s="208"/>
      <c r="T39" s="231" t="s">
        <v>410</v>
      </c>
      <c r="U39" s="208"/>
      <c r="V39" s="215"/>
    </row>
    <row r="40" spans="2:25" ht="15" customHeight="1">
      <c r="B40" s="817"/>
      <c r="C40" s="369" t="s">
        <v>618</v>
      </c>
      <c r="D40" s="22">
        <f>+農薬算出基礎!G15</f>
        <v>500</v>
      </c>
      <c r="E40" s="29" t="s">
        <v>312</v>
      </c>
      <c r="F40" s="368">
        <f t="shared" si="14"/>
        <v>7.88</v>
      </c>
      <c r="G40" s="119">
        <f>+農薬算出基礎!I15</f>
        <v>3940</v>
      </c>
      <c r="H40" s="132"/>
      <c r="I40" s="838"/>
      <c r="J40" s="129"/>
      <c r="K40" s="832"/>
      <c r="L40" s="832"/>
      <c r="M40" s="200"/>
      <c r="N40" s="215"/>
      <c r="O40" s="142"/>
      <c r="P40" s="828"/>
      <c r="Q40" s="207" t="s">
        <v>250</v>
      </c>
      <c r="R40" s="230" t="s">
        <v>427</v>
      </c>
      <c r="S40" s="208"/>
      <c r="T40" s="231" t="s">
        <v>429</v>
      </c>
      <c r="U40" s="208"/>
      <c r="V40" s="215"/>
    </row>
    <row r="41" spans="2:25" ht="15" customHeight="1">
      <c r="B41" s="817"/>
      <c r="C41" s="369" t="s">
        <v>620</v>
      </c>
      <c r="D41" s="22">
        <f>+農薬算出基礎!G16</f>
        <v>333.33333333333331</v>
      </c>
      <c r="E41" s="29" t="s">
        <v>312</v>
      </c>
      <c r="F41" s="368">
        <f t="shared" si="14"/>
        <v>7.5960000000000001</v>
      </c>
      <c r="G41" s="119">
        <f>+農薬算出基礎!I16</f>
        <v>2532</v>
      </c>
      <c r="H41" s="132"/>
      <c r="I41" s="838"/>
      <c r="J41" s="129" t="s">
        <v>447</v>
      </c>
      <c r="K41" s="832"/>
      <c r="L41" s="832"/>
      <c r="M41" s="200"/>
      <c r="N41" s="215">
        <v>380</v>
      </c>
      <c r="O41" s="142"/>
      <c r="P41" s="828"/>
      <c r="Q41" s="207" t="s">
        <v>428</v>
      </c>
      <c r="R41" s="230" t="s">
        <v>427</v>
      </c>
      <c r="S41" s="208" t="s">
        <v>423</v>
      </c>
      <c r="T41" s="231" t="s">
        <v>429</v>
      </c>
      <c r="U41" s="208" t="s">
        <v>410</v>
      </c>
      <c r="V41" s="215" t="s">
        <v>410</v>
      </c>
    </row>
    <row r="42" spans="2:25" ht="15" customHeight="1" thickBot="1">
      <c r="B42" s="817"/>
      <c r="C42" s="112" t="s">
        <v>619</v>
      </c>
      <c r="D42" s="366">
        <f>+農薬算出基礎!G17</f>
        <v>333.33333333333331</v>
      </c>
      <c r="E42" s="367" t="s">
        <v>312</v>
      </c>
      <c r="F42" s="371">
        <f t="shared" si="14"/>
        <v>7.5960000000000001</v>
      </c>
      <c r="G42" s="372">
        <f>+農薬算出基礎!I17</f>
        <v>2532</v>
      </c>
      <c r="H42" s="132"/>
      <c r="I42" s="839"/>
      <c r="J42" s="203" t="s">
        <v>111</v>
      </c>
      <c r="K42" s="833"/>
      <c r="L42" s="834"/>
      <c r="M42" s="204"/>
      <c r="N42" s="211">
        <f>SUM(N35:N41)</f>
        <v>3082.7</v>
      </c>
      <c r="O42" s="142"/>
      <c r="P42" s="828"/>
      <c r="Q42" s="207"/>
      <c r="R42" s="230"/>
      <c r="S42" s="208"/>
      <c r="T42" s="231"/>
      <c r="U42" s="208"/>
      <c r="V42" s="215"/>
    </row>
    <row r="43" spans="2:25" ht="15" customHeight="1" thickTop="1">
      <c r="B43" s="817"/>
      <c r="C43" s="129">
        <f>+農薬算出基礎!B18</f>
        <v>0</v>
      </c>
      <c r="D43" s="129"/>
      <c r="E43" s="374"/>
      <c r="F43" s="129"/>
      <c r="G43" s="129"/>
      <c r="H43" s="132"/>
      <c r="I43" s="859" t="s">
        <v>165</v>
      </c>
      <c r="J43" s="205" t="s">
        <v>449</v>
      </c>
      <c r="K43" s="869">
        <f>31500*2</f>
        <v>63000</v>
      </c>
      <c r="L43" s="869"/>
      <c r="M43" s="379">
        <v>4000</v>
      </c>
      <c r="N43" s="215">
        <f>+K43/M43*10</f>
        <v>157.5</v>
      </c>
      <c r="O43" s="142"/>
      <c r="P43" s="828"/>
      <c r="Q43" s="207"/>
      <c r="R43" s="230"/>
      <c r="S43" s="208"/>
      <c r="T43" s="231"/>
      <c r="U43" s="208"/>
      <c r="V43" s="215"/>
    </row>
    <row r="44" spans="2:25" ht="15" customHeight="1" thickBot="1">
      <c r="B44" s="817"/>
      <c r="C44" s="129">
        <f>+農薬算出基礎!B19</f>
        <v>0</v>
      </c>
      <c r="D44" s="129"/>
      <c r="E44" s="374"/>
      <c r="F44" s="129"/>
      <c r="G44" s="129"/>
      <c r="H44" s="132"/>
      <c r="I44" s="860"/>
      <c r="J44" s="207" t="s">
        <v>450</v>
      </c>
      <c r="K44" s="832">
        <f>61500/3*3</f>
        <v>61500</v>
      </c>
      <c r="L44" s="832"/>
      <c r="M44" s="200">
        <v>4000</v>
      </c>
      <c r="N44" s="215">
        <f>+K44/M44*10</f>
        <v>153.75</v>
      </c>
      <c r="O44" s="142"/>
      <c r="P44" s="841"/>
      <c r="Q44" s="216" t="s">
        <v>174</v>
      </c>
      <c r="R44" s="217"/>
      <c r="S44" s="217"/>
      <c r="T44" s="217"/>
      <c r="U44" s="217"/>
      <c r="V44" s="218">
        <f>SUM(V38:V43)</f>
        <v>5520</v>
      </c>
    </row>
    <row r="45" spans="2:25" ht="15" customHeight="1" thickTop="1">
      <c r="B45" s="817"/>
      <c r="C45" s="129">
        <f>+農薬算出基礎!B20</f>
        <v>0</v>
      </c>
      <c r="D45" s="129"/>
      <c r="E45" s="374"/>
      <c r="F45" s="129"/>
      <c r="G45" s="129"/>
      <c r="H45" s="132"/>
      <c r="I45" s="860"/>
      <c r="J45" s="207" t="s">
        <v>470</v>
      </c>
      <c r="K45" s="832">
        <v>20500</v>
      </c>
      <c r="L45" s="832"/>
      <c r="M45" s="200">
        <v>4000</v>
      </c>
      <c r="N45" s="215">
        <f>+K45/M45*10</f>
        <v>51.25</v>
      </c>
      <c r="O45" s="142"/>
      <c r="P45" s="827" t="s">
        <v>178</v>
      </c>
      <c r="Q45" s="824" t="s">
        <v>186</v>
      </c>
      <c r="R45" s="232" t="str">
        <f>+J43</f>
        <v>マイクロバス２台</v>
      </c>
      <c r="S45" s="207">
        <f>18070*2</f>
        <v>36140</v>
      </c>
      <c r="T45" s="231">
        <v>1</v>
      </c>
      <c r="U45" s="207">
        <v>4000</v>
      </c>
      <c r="V45" s="215">
        <f>+S45*T45/U45*10</f>
        <v>90.35</v>
      </c>
    </row>
    <row r="46" spans="2:25" ht="15" customHeight="1" thickBot="1">
      <c r="B46" s="817"/>
      <c r="C46" s="373" t="s">
        <v>110</v>
      </c>
      <c r="D46" s="124"/>
      <c r="E46" s="124"/>
      <c r="F46" s="124"/>
      <c r="G46" s="125">
        <f>SUM(G28:G42)</f>
        <v>32200.066666666666</v>
      </c>
      <c r="H46" s="132"/>
      <c r="I46" s="870"/>
      <c r="J46" s="203" t="s">
        <v>111</v>
      </c>
      <c r="K46" s="833"/>
      <c r="L46" s="834"/>
      <c r="M46" s="204"/>
      <c r="N46" s="211">
        <f>SUM(N43:N45)</f>
        <v>362.5</v>
      </c>
      <c r="O46" s="142"/>
      <c r="P46" s="828"/>
      <c r="Q46" s="825"/>
      <c r="R46" s="232" t="str">
        <f>+J44</f>
        <v>１０人乗りワゴン３台</v>
      </c>
      <c r="S46" s="207">
        <f>16350*3</f>
        <v>49050</v>
      </c>
      <c r="T46" s="231">
        <v>1</v>
      </c>
      <c r="U46" s="207">
        <v>4000</v>
      </c>
      <c r="V46" s="215">
        <f>+S46*T46/U46*10</f>
        <v>122.625</v>
      </c>
    </row>
    <row r="47" spans="2:25" ht="15" customHeight="1" thickTop="1">
      <c r="B47" s="817" t="s">
        <v>313</v>
      </c>
      <c r="C47" s="369" t="s">
        <v>606</v>
      </c>
      <c r="D47" s="22">
        <f>+農薬算出基礎!G23</f>
        <v>4000</v>
      </c>
      <c r="E47" s="29" t="s">
        <v>311</v>
      </c>
      <c r="F47" s="368">
        <f t="shared" ref="F47:F58" si="16">+G47/D47</f>
        <v>0.4103</v>
      </c>
      <c r="G47" s="120">
        <f>+農薬算出基礎!I23</f>
        <v>1641.2</v>
      </c>
      <c r="H47" s="132"/>
      <c r="I47" s="859" t="s">
        <v>166</v>
      </c>
      <c r="J47" s="205" t="str">
        <f>+J43</f>
        <v>マイクロバス２台</v>
      </c>
      <c r="K47" s="869">
        <f>33000*2</f>
        <v>66000</v>
      </c>
      <c r="L47" s="869"/>
      <c r="M47" s="206">
        <v>4000</v>
      </c>
      <c r="N47" s="215">
        <f>+K47/M47*10</f>
        <v>165</v>
      </c>
      <c r="O47" s="142"/>
      <c r="P47" s="828"/>
      <c r="Q47" s="825"/>
      <c r="R47" s="232" t="str">
        <f>+J53</f>
        <v>軽トラック５台</v>
      </c>
      <c r="S47" s="207">
        <f>15600*5</f>
        <v>78000</v>
      </c>
      <c r="T47" s="231">
        <v>1</v>
      </c>
      <c r="U47" s="207">
        <v>4000</v>
      </c>
      <c r="V47" s="215">
        <f>+S47*T47/U47*10</f>
        <v>195</v>
      </c>
    </row>
    <row r="48" spans="2:25" ht="15" customHeight="1">
      <c r="B48" s="817"/>
      <c r="C48" s="369" t="s">
        <v>607</v>
      </c>
      <c r="D48" s="22">
        <f>+農薬算出基礎!G24</f>
        <v>1000</v>
      </c>
      <c r="E48" s="29" t="s">
        <v>311</v>
      </c>
      <c r="F48" s="368">
        <f t="shared" si="16"/>
        <v>2.742</v>
      </c>
      <c r="G48" s="120">
        <f>+農薬算出基礎!I24</f>
        <v>2742</v>
      </c>
      <c r="H48" s="132"/>
      <c r="I48" s="860"/>
      <c r="J48" s="207" t="str">
        <f>+J44</f>
        <v>１０人乗りワゴン３台</v>
      </c>
      <c r="K48" s="832">
        <f>51000*3</f>
        <v>153000</v>
      </c>
      <c r="L48" s="832"/>
      <c r="M48" s="200">
        <v>4000</v>
      </c>
      <c r="N48" s="215">
        <f>+K48/M48*10</f>
        <v>382.5</v>
      </c>
      <c r="O48" s="142"/>
      <c r="P48" s="828"/>
      <c r="Q48" s="825"/>
      <c r="R48" s="232"/>
      <c r="S48" s="207"/>
      <c r="T48" s="231"/>
      <c r="U48" s="207"/>
      <c r="V48" s="215"/>
    </row>
    <row r="49" spans="2:22" ht="15" customHeight="1">
      <c r="B49" s="817"/>
      <c r="C49" s="369" t="s">
        <v>608</v>
      </c>
      <c r="D49" s="22">
        <f>+農薬算出基礎!G25</f>
        <v>500</v>
      </c>
      <c r="E49" s="29" t="s">
        <v>311</v>
      </c>
      <c r="F49" s="368">
        <f t="shared" si="16"/>
        <v>2.4119999999999999</v>
      </c>
      <c r="G49" s="120">
        <f>+農薬算出基礎!I25</f>
        <v>1206</v>
      </c>
      <c r="H49" s="132"/>
      <c r="I49" s="860"/>
      <c r="J49" s="129"/>
      <c r="K49" s="832"/>
      <c r="L49" s="832"/>
      <c r="M49" s="200"/>
      <c r="N49" s="215"/>
      <c r="O49" s="142"/>
      <c r="P49" s="828"/>
      <c r="Q49" s="826"/>
      <c r="R49" s="232"/>
      <c r="S49" s="207"/>
      <c r="T49" s="207"/>
      <c r="U49" s="129"/>
      <c r="V49" s="233"/>
    </row>
    <row r="50" spans="2:22" ht="15" customHeight="1" thickBot="1">
      <c r="B50" s="817"/>
      <c r="C50" s="369" t="s">
        <v>609</v>
      </c>
      <c r="D50" s="22">
        <f>+農薬算出基礎!G26</f>
        <v>166.66666666666666</v>
      </c>
      <c r="E50" s="29" t="s">
        <v>311</v>
      </c>
      <c r="F50" s="368">
        <f t="shared" si="16"/>
        <v>8.5540000000000003</v>
      </c>
      <c r="G50" s="120">
        <f>+農薬算出基礎!I26</f>
        <v>1425.6666666666667</v>
      </c>
      <c r="H50" s="132"/>
      <c r="I50" s="870"/>
      <c r="J50" s="203" t="s">
        <v>111</v>
      </c>
      <c r="K50" s="833"/>
      <c r="L50" s="834"/>
      <c r="M50" s="204"/>
      <c r="N50" s="211">
        <f>SUM(N47:N49)</f>
        <v>547.5</v>
      </c>
      <c r="O50" s="142"/>
      <c r="P50" s="828"/>
      <c r="Q50" s="216" t="s">
        <v>174</v>
      </c>
      <c r="R50" s="217"/>
      <c r="S50" s="217"/>
      <c r="T50" s="217"/>
      <c r="U50" s="217"/>
      <c r="V50" s="218">
        <f>SUM(V45:V49)</f>
        <v>407.97500000000002</v>
      </c>
    </row>
    <row r="51" spans="2:22" ht="15" customHeight="1" thickTop="1">
      <c r="B51" s="817"/>
      <c r="C51" s="369" t="s">
        <v>610</v>
      </c>
      <c r="D51" s="22">
        <f>+農薬算出基礎!G27</f>
        <v>500</v>
      </c>
      <c r="E51" s="29" t="s">
        <v>311</v>
      </c>
      <c r="F51" s="368">
        <f t="shared" si="16"/>
        <v>2.742</v>
      </c>
      <c r="G51" s="120">
        <f>+農薬算出基礎!I27</f>
        <v>1371</v>
      </c>
      <c r="H51" s="132"/>
      <c r="I51" s="859" t="s">
        <v>167</v>
      </c>
      <c r="J51" s="205" t="s">
        <v>451</v>
      </c>
      <c r="K51" s="861">
        <f>1600*6</f>
        <v>9600</v>
      </c>
      <c r="L51" s="862"/>
      <c r="M51" s="394">
        <v>4000</v>
      </c>
      <c r="N51" s="215">
        <f>+K51/M51*10</f>
        <v>24</v>
      </c>
      <c r="O51" s="142"/>
      <c r="P51" s="828"/>
      <c r="Q51" s="824" t="s">
        <v>187</v>
      </c>
      <c r="R51" s="232" t="str">
        <f>+R45</f>
        <v>マイクロバス２台</v>
      </c>
      <c r="S51" s="207">
        <f>150000*2</f>
        <v>300000</v>
      </c>
      <c r="T51" s="231">
        <v>1</v>
      </c>
      <c r="U51" s="207">
        <v>4000</v>
      </c>
      <c r="V51" s="215">
        <f t="shared" ref="V51:V52" si="17">+S51*T51/U51*10</f>
        <v>750</v>
      </c>
    </row>
    <row r="52" spans="2:22" ht="15" customHeight="1">
      <c r="B52" s="817"/>
      <c r="C52" s="369" t="s">
        <v>611</v>
      </c>
      <c r="D52" s="22">
        <f>+農薬算出基礎!G28</f>
        <v>333.33333333333331</v>
      </c>
      <c r="E52" s="29" t="s">
        <v>311</v>
      </c>
      <c r="F52" s="368">
        <f t="shared" si="16"/>
        <v>4.3339999999999996</v>
      </c>
      <c r="G52" s="120">
        <f>+農薬算出基礎!I28</f>
        <v>1444.6666666666665</v>
      </c>
      <c r="H52" s="132"/>
      <c r="I52" s="860"/>
      <c r="J52" s="207" t="s">
        <v>549</v>
      </c>
      <c r="K52" s="863">
        <f>1600*8</f>
        <v>12800</v>
      </c>
      <c r="L52" s="864"/>
      <c r="M52" s="395">
        <v>4000</v>
      </c>
      <c r="N52" s="215">
        <f>+K52/M52*10</f>
        <v>32</v>
      </c>
      <c r="O52" s="142"/>
      <c r="P52" s="828"/>
      <c r="Q52" s="825"/>
      <c r="R52" s="232" t="str">
        <f>+R46</f>
        <v>１０人乗りワゴン３台</v>
      </c>
      <c r="S52" s="207">
        <f>150000*3</f>
        <v>450000</v>
      </c>
      <c r="T52" s="231">
        <v>1</v>
      </c>
      <c r="U52" s="207">
        <v>4000</v>
      </c>
      <c r="V52" s="215">
        <f t="shared" si="17"/>
        <v>1125</v>
      </c>
    </row>
    <row r="53" spans="2:22">
      <c r="B53" s="817"/>
      <c r="C53" s="369" t="s">
        <v>612</v>
      </c>
      <c r="D53" s="22">
        <f>+農薬算出基礎!G29</f>
        <v>500</v>
      </c>
      <c r="E53" s="29" t="s">
        <v>311</v>
      </c>
      <c r="F53" s="368">
        <f t="shared" si="16"/>
        <v>2.0249999999999999</v>
      </c>
      <c r="G53" s="120">
        <f>+農薬算出基礎!I29</f>
        <v>1012.5</v>
      </c>
      <c r="I53" s="860"/>
      <c r="J53" s="207" t="s">
        <v>470</v>
      </c>
      <c r="K53" s="863">
        <f>4000*5</f>
        <v>20000</v>
      </c>
      <c r="L53" s="864"/>
      <c r="M53" s="395">
        <v>4000</v>
      </c>
      <c r="N53" s="215">
        <f>+K53/M53*10</f>
        <v>50</v>
      </c>
      <c r="O53" s="142"/>
      <c r="P53" s="828"/>
      <c r="Q53" s="825"/>
      <c r="R53" s="232" t="str">
        <f>+J53</f>
        <v>軽トラック５台</v>
      </c>
      <c r="S53" s="207">
        <f>30000*5</f>
        <v>150000</v>
      </c>
      <c r="T53" s="231">
        <v>1</v>
      </c>
      <c r="U53" s="207">
        <v>4000</v>
      </c>
      <c r="V53" s="215">
        <f t="shared" ref="V53" si="18">+S53*T53/U53*10</f>
        <v>375</v>
      </c>
    </row>
    <row r="54" spans="2:22" ht="14.25" customHeight="1">
      <c r="B54" s="817"/>
      <c r="C54" s="369" t="s">
        <v>613</v>
      </c>
      <c r="D54" s="22">
        <f>+農薬算出基礎!G30</f>
        <v>500</v>
      </c>
      <c r="E54" s="29" t="s">
        <v>311</v>
      </c>
      <c r="F54" s="368">
        <f t="shared" si="16"/>
        <v>2.0249999999999999</v>
      </c>
      <c r="G54" s="120">
        <f>+農薬算出基礎!I30</f>
        <v>1012.5</v>
      </c>
      <c r="I54" s="860"/>
      <c r="J54" s="200" t="s">
        <v>548</v>
      </c>
      <c r="K54" s="865">
        <f>5900*2</f>
        <v>11800</v>
      </c>
      <c r="L54" s="866"/>
      <c r="M54" s="436">
        <f>+M53</f>
        <v>4000</v>
      </c>
      <c r="N54" s="215">
        <f>+K54/M54*10</f>
        <v>29.5</v>
      </c>
      <c r="O54" s="142"/>
      <c r="P54" s="828"/>
      <c r="Q54" s="825"/>
      <c r="R54" s="232"/>
      <c r="S54" s="207"/>
      <c r="T54" s="231"/>
      <c r="U54" s="207"/>
      <c r="V54" s="215"/>
    </row>
    <row r="55" spans="2:22">
      <c r="B55" s="817"/>
      <c r="C55" s="369" t="s">
        <v>614</v>
      </c>
      <c r="D55" s="22">
        <f>+農薬算出基礎!G31</f>
        <v>250</v>
      </c>
      <c r="E55" s="29" t="s">
        <v>311</v>
      </c>
      <c r="F55" s="368">
        <f t="shared" si="16"/>
        <v>8.42</v>
      </c>
      <c r="G55" s="120">
        <f>+農薬算出基礎!I31</f>
        <v>2105</v>
      </c>
      <c r="I55" s="860"/>
      <c r="J55" s="207"/>
      <c r="K55" s="863"/>
      <c r="L55" s="864"/>
      <c r="M55" s="219"/>
      <c r="N55" s="229"/>
      <c r="O55" s="142"/>
      <c r="P55" s="828"/>
      <c r="Q55" s="826"/>
      <c r="R55" s="232"/>
      <c r="S55" s="207"/>
      <c r="T55" s="207"/>
      <c r="U55" s="129"/>
      <c r="V55" s="233"/>
    </row>
    <row r="56" spans="2:22">
      <c r="B56" s="817"/>
      <c r="C56" s="369" t="s">
        <v>615</v>
      </c>
      <c r="D56" s="22">
        <f>+農薬算出基礎!G32</f>
        <v>250</v>
      </c>
      <c r="E56" s="29" t="s">
        <v>311</v>
      </c>
      <c r="F56" s="368">
        <f t="shared" si="16"/>
        <v>16.686</v>
      </c>
      <c r="G56" s="120">
        <f>+農薬算出基礎!I32</f>
        <v>4171.5</v>
      </c>
      <c r="I56" s="837"/>
      <c r="J56" s="209" t="s">
        <v>111</v>
      </c>
      <c r="K56" s="867"/>
      <c r="L56" s="868"/>
      <c r="M56" s="210"/>
      <c r="N56" s="212">
        <f>SUM(N51:N55)</f>
        <v>135.5</v>
      </c>
      <c r="O56" s="142"/>
      <c r="P56" s="829"/>
      <c r="Q56" s="236" t="s">
        <v>174</v>
      </c>
      <c r="R56" s="237"/>
      <c r="S56" s="237"/>
      <c r="T56" s="237"/>
      <c r="U56" s="237"/>
      <c r="V56" s="238">
        <f>SUM(V51:V55)</f>
        <v>2250</v>
      </c>
    </row>
    <row r="57" spans="2:22" ht="14.25" thickBot="1">
      <c r="B57" s="817"/>
      <c r="C57" s="369" t="s">
        <v>616</v>
      </c>
      <c r="D57" s="22">
        <f>+農薬算出基礎!G33</f>
        <v>250</v>
      </c>
      <c r="E57" s="29" t="s">
        <v>311</v>
      </c>
      <c r="F57" s="368">
        <f t="shared" si="16"/>
        <v>8.6379999999999999</v>
      </c>
      <c r="G57" s="120">
        <f>+農薬算出基礎!I33</f>
        <v>2159.5</v>
      </c>
      <c r="I57" s="830" t="s">
        <v>168</v>
      </c>
      <c r="J57" s="831"/>
      <c r="K57" s="835"/>
      <c r="L57" s="836"/>
      <c r="M57" s="149"/>
      <c r="N57" s="213">
        <f>SUM(N42,N46,N50,N56)</f>
        <v>4128.2</v>
      </c>
      <c r="O57" s="142"/>
      <c r="P57" s="822" t="s">
        <v>168</v>
      </c>
      <c r="Q57" s="823"/>
      <c r="R57" s="234"/>
      <c r="S57" s="234"/>
      <c r="T57" s="234"/>
      <c r="U57" s="234"/>
      <c r="V57" s="235">
        <f>SUM(V44,V50,V56)</f>
        <v>8177.9750000000004</v>
      </c>
    </row>
    <row r="58" spans="2:22">
      <c r="B58" s="817"/>
      <c r="C58" s="369" t="s">
        <v>617</v>
      </c>
      <c r="D58" s="22">
        <f>+農薬算出基礎!G34</f>
        <v>250</v>
      </c>
      <c r="E58" s="29" t="s">
        <v>311</v>
      </c>
      <c r="F58" s="368">
        <f t="shared" si="16"/>
        <v>2.0249999999999999</v>
      </c>
      <c r="G58" s="120">
        <f>+農薬算出基礎!I34</f>
        <v>506.25</v>
      </c>
      <c r="O58" s="142"/>
      <c r="V58" s="23"/>
    </row>
    <row r="59" spans="2:22">
      <c r="B59" s="817"/>
      <c r="C59" s="369"/>
      <c r="D59" s="22"/>
      <c r="E59" s="22"/>
      <c r="F59" s="22"/>
      <c r="G59" s="120">
        <f t="shared" ref="G59:G63" si="19">D59*F59</f>
        <v>0</v>
      </c>
      <c r="I59" s="142"/>
      <c r="J59" s="142"/>
      <c r="K59" s="142"/>
      <c r="L59" s="142"/>
      <c r="M59" s="142"/>
      <c r="N59" s="142"/>
      <c r="O59" s="142"/>
    </row>
    <row r="60" spans="2:22" ht="14.25" thickBot="1">
      <c r="B60" s="817"/>
      <c r="C60" s="375" t="s">
        <v>111</v>
      </c>
      <c r="D60" s="124"/>
      <c r="E60" s="124"/>
      <c r="F60" s="124"/>
      <c r="G60" s="125">
        <f>SUM(G47:G59)</f>
        <v>20797.783333333333</v>
      </c>
      <c r="I60" s="142"/>
      <c r="J60" s="142"/>
      <c r="K60" s="142"/>
      <c r="L60" s="142"/>
      <c r="M60" s="142"/>
      <c r="N60" s="142"/>
      <c r="O60" s="142"/>
    </row>
    <row r="61" spans="2:22" ht="14.25" thickTop="1">
      <c r="B61" s="818" t="s">
        <v>314</v>
      </c>
      <c r="C61" s="369" t="s">
        <v>621</v>
      </c>
      <c r="D61" s="22">
        <v>15</v>
      </c>
      <c r="E61" s="29" t="s">
        <v>112</v>
      </c>
      <c r="F61" s="22">
        <v>2000</v>
      </c>
      <c r="G61" s="120">
        <f>+農薬算出基礎!I38</f>
        <v>5861</v>
      </c>
      <c r="I61" s="142"/>
      <c r="J61" s="142"/>
      <c r="K61" s="142"/>
      <c r="L61" s="142"/>
      <c r="M61" s="142"/>
      <c r="N61" s="142"/>
      <c r="O61" s="142"/>
    </row>
    <row r="62" spans="2:22">
      <c r="B62" s="818"/>
      <c r="C62" s="369"/>
      <c r="D62" s="22"/>
      <c r="E62" s="22"/>
      <c r="F62" s="22"/>
      <c r="G62" s="120">
        <f t="shared" si="19"/>
        <v>0</v>
      </c>
      <c r="I62" s="142"/>
      <c r="J62" s="142"/>
      <c r="K62" s="142"/>
      <c r="L62" s="142"/>
      <c r="M62" s="142"/>
      <c r="N62" s="142"/>
      <c r="O62" s="142"/>
    </row>
    <row r="63" spans="2:22">
      <c r="B63" s="818"/>
      <c r="C63" s="369"/>
      <c r="D63" s="22"/>
      <c r="E63" s="22"/>
      <c r="F63" s="22"/>
      <c r="G63" s="120">
        <f t="shared" si="19"/>
        <v>0</v>
      </c>
      <c r="I63" s="142"/>
      <c r="J63" s="142"/>
      <c r="K63" s="142"/>
      <c r="L63" s="142"/>
      <c r="M63" s="142"/>
      <c r="N63" s="142"/>
      <c r="O63" s="142"/>
    </row>
    <row r="64" spans="2:22" ht="14.25" thickBot="1">
      <c r="B64" s="818"/>
      <c r="C64" s="375" t="s">
        <v>111</v>
      </c>
      <c r="D64" s="124"/>
      <c r="E64" s="124"/>
      <c r="F64" s="124"/>
      <c r="G64" s="125">
        <f>SUM(G61:G63)</f>
        <v>5861</v>
      </c>
      <c r="I64" s="142"/>
      <c r="J64" s="142"/>
      <c r="K64" s="142"/>
      <c r="L64" s="142"/>
      <c r="M64" s="142"/>
      <c r="N64" s="142"/>
      <c r="O64" s="142"/>
    </row>
    <row r="65" spans="2:15" ht="14.25" thickTop="1">
      <c r="B65" s="819" t="s">
        <v>315</v>
      </c>
      <c r="C65" s="369"/>
      <c r="D65" s="22"/>
      <c r="E65" s="29"/>
      <c r="F65" s="22"/>
      <c r="G65" s="120"/>
      <c r="I65" s="142"/>
      <c r="J65" s="142"/>
      <c r="K65" s="142"/>
      <c r="L65" s="142"/>
      <c r="M65" s="142"/>
      <c r="N65" s="142"/>
      <c r="O65" s="142"/>
    </row>
    <row r="66" spans="2:15">
      <c r="B66" s="820"/>
      <c r="C66" s="369"/>
      <c r="D66" s="22"/>
      <c r="E66" s="29"/>
      <c r="F66" s="22"/>
      <c r="G66" s="120"/>
      <c r="I66" s="142"/>
      <c r="J66" s="142"/>
      <c r="K66" s="142"/>
      <c r="L66" s="142"/>
      <c r="M66" s="142"/>
      <c r="N66" s="142"/>
      <c r="O66" s="142"/>
    </row>
    <row r="67" spans="2:15">
      <c r="B67" s="820"/>
      <c r="C67" s="369"/>
      <c r="D67" s="22"/>
      <c r="E67" s="29"/>
      <c r="F67" s="22"/>
      <c r="G67" s="120"/>
      <c r="I67" s="142"/>
      <c r="J67" s="142"/>
      <c r="K67" s="142"/>
      <c r="L67" s="142"/>
      <c r="M67" s="142"/>
      <c r="N67" s="142"/>
      <c r="O67" s="142"/>
    </row>
    <row r="68" spans="2:15" ht="14.25" thickBot="1">
      <c r="B68" s="821"/>
      <c r="C68" s="376" t="s">
        <v>113</v>
      </c>
      <c r="D68" s="127"/>
      <c r="E68" s="127"/>
      <c r="F68" s="127"/>
      <c r="G68" s="128">
        <f>SUM(G65:G67)</f>
        <v>0</v>
      </c>
      <c r="I68" s="142"/>
      <c r="J68" s="142"/>
      <c r="K68" s="142"/>
      <c r="L68" s="142"/>
      <c r="M68" s="142"/>
      <c r="N68" s="142"/>
      <c r="O68" s="142"/>
    </row>
    <row r="69" spans="2:15">
      <c r="I69" s="142"/>
      <c r="J69" s="142"/>
      <c r="K69" s="142"/>
      <c r="L69" s="142"/>
      <c r="M69" s="142"/>
      <c r="N69" s="142"/>
      <c r="O69" s="142"/>
    </row>
    <row r="70" spans="2:15">
      <c r="I70" s="142"/>
      <c r="J70" s="142"/>
      <c r="K70" s="142"/>
      <c r="L70" s="142"/>
      <c r="M70" s="142"/>
      <c r="N70" s="142"/>
      <c r="O70" s="142"/>
    </row>
    <row r="71" spans="2:15">
      <c r="I71" s="142"/>
      <c r="J71" s="142"/>
      <c r="K71" s="142"/>
      <c r="L71" s="142"/>
      <c r="M71" s="142"/>
      <c r="N71" s="142"/>
      <c r="O71" s="142"/>
    </row>
    <row r="72" spans="2:15">
      <c r="I72" s="142"/>
      <c r="J72" s="142"/>
      <c r="K72" s="142"/>
      <c r="L72" s="142"/>
      <c r="M72" s="142"/>
      <c r="N72" s="142"/>
      <c r="O72" s="142"/>
    </row>
    <row r="73" spans="2:15">
      <c r="I73" s="142"/>
      <c r="J73" s="142"/>
      <c r="K73" s="142"/>
      <c r="L73" s="142"/>
      <c r="M73" s="142"/>
      <c r="N73" s="142"/>
      <c r="O73" s="142"/>
    </row>
    <row r="74" spans="2:15">
      <c r="I74" s="142"/>
      <c r="J74" s="142"/>
      <c r="K74" s="142"/>
      <c r="L74" s="142"/>
      <c r="M74" s="142"/>
      <c r="N74" s="142"/>
      <c r="O74" s="142"/>
    </row>
    <row r="75" spans="2:15">
      <c r="I75" s="142"/>
      <c r="J75" s="142"/>
      <c r="K75" s="142"/>
      <c r="L75" s="142"/>
      <c r="M75" s="142"/>
      <c r="N75" s="142"/>
      <c r="O75" s="142"/>
    </row>
    <row r="76" spans="2:15">
      <c r="I76" s="142"/>
      <c r="J76" s="142"/>
      <c r="K76" s="142"/>
      <c r="L76" s="142"/>
      <c r="M76" s="142"/>
      <c r="N76" s="142"/>
      <c r="O76" s="142"/>
    </row>
    <row r="77" spans="2:15">
      <c r="I77" s="142"/>
      <c r="J77" s="142"/>
      <c r="K77" s="142"/>
      <c r="L77" s="142"/>
      <c r="M77" s="142"/>
      <c r="N77" s="142"/>
      <c r="O77" s="142"/>
    </row>
    <row r="78" spans="2:15">
      <c r="B78" s="131"/>
      <c r="I78" s="142"/>
      <c r="J78" s="142"/>
      <c r="K78" s="142"/>
      <c r="L78" s="142"/>
      <c r="M78" s="142"/>
      <c r="N78" s="142"/>
      <c r="O78" s="142"/>
    </row>
    <row r="79" spans="2:15">
      <c r="B79" s="131"/>
      <c r="I79" s="142"/>
      <c r="J79" s="142"/>
      <c r="K79" s="142"/>
      <c r="L79" s="142"/>
      <c r="M79" s="142"/>
      <c r="N79" s="142"/>
      <c r="O79" s="142"/>
    </row>
    <row r="80" spans="2:15">
      <c r="I80" s="142"/>
      <c r="J80" s="142"/>
      <c r="K80" s="142"/>
      <c r="L80" s="142"/>
      <c r="M80" s="142"/>
      <c r="N80" s="142"/>
      <c r="O80" s="142"/>
    </row>
    <row r="81" spans="3:15">
      <c r="I81" s="142"/>
      <c r="J81" s="142"/>
      <c r="K81" s="142"/>
      <c r="L81" s="142"/>
      <c r="M81" s="142"/>
      <c r="N81" s="142"/>
      <c r="O81" s="142"/>
    </row>
    <row r="82" spans="3:15">
      <c r="I82" s="142"/>
      <c r="J82" s="142"/>
      <c r="K82" s="142"/>
      <c r="L82" s="142"/>
      <c r="M82" s="142"/>
      <c r="N82" s="142"/>
      <c r="O82" s="142"/>
    </row>
    <row r="83" spans="3:15">
      <c r="I83" s="142"/>
      <c r="J83" s="142"/>
      <c r="K83" s="142"/>
      <c r="L83" s="142"/>
      <c r="M83" s="142"/>
      <c r="N83" s="142"/>
      <c r="O83" s="142"/>
    </row>
    <row r="84" spans="3:15">
      <c r="I84" s="142"/>
      <c r="J84" s="142"/>
      <c r="K84" s="142"/>
      <c r="L84" s="142"/>
      <c r="M84" s="142"/>
      <c r="N84" s="142"/>
      <c r="O84" s="142"/>
    </row>
    <row r="85" spans="3:15">
      <c r="I85" s="142"/>
      <c r="J85" s="142"/>
      <c r="K85" s="142"/>
      <c r="L85" s="142"/>
      <c r="M85" s="142"/>
      <c r="N85" s="142"/>
      <c r="O85" s="142"/>
    </row>
    <row r="86" spans="3:15">
      <c r="I86" s="142"/>
      <c r="J86" s="142"/>
      <c r="K86" s="142"/>
      <c r="L86" s="142"/>
      <c r="M86" s="142"/>
      <c r="N86" s="142"/>
      <c r="O86" s="142"/>
    </row>
    <row r="87" spans="3:15">
      <c r="I87" s="142"/>
      <c r="J87" s="142"/>
      <c r="K87" s="142"/>
      <c r="L87" s="142"/>
      <c r="M87" s="142"/>
      <c r="N87" s="142"/>
      <c r="O87" s="142"/>
    </row>
    <row r="88" spans="3:15">
      <c r="I88" s="142"/>
      <c r="J88" s="142"/>
      <c r="K88" s="142"/>
      <c r="L88" s="142"/>
      <c r="M88" s="142"/>
      <c r="N88" s="142"/>
      <c r="O88" s="142"/>
    </row>
    <row r="89" spans="3:15">
      <c r="I89" s="142"/>
      <c r="J89" s="142"/>
      <c r="K89" s="142"/>
      <c r="L89" s="142"/>
      <c r="M89" s="142"/>
      <c r="N89" s="142"/>
      <c r="O89" s="142"/>
    </row>
    <row r="90" spans="3:15">
      <c r="I90" s="142"/>
      <c r="J90" s="142"/>
      <c r="K90" s="142"/>
      <c r="L90" s="142"/>
      <c r="M90" s="142"/>
      <c r="N90" s="142"/>
      <c r="O90" s="142"/>
    </row>
    <row r="91" spans="3:15">
      <c r="I91" s="142"/>
      <c r="J91" s="142"/>
      <c r="K91" s="142"/>
      <c r="L91" s="142"/>
      <c r="M91" s="142"/>
      <c r="N91" s="142"/>
      <c r="O91" s="142"/>
    </row>
    <row r="92" spans="3:15">
      <c r="I92" s="142"/>
      <c r="J92" s="142"/>
      <c r="K92" s="142"/>
      <c r="L92" s="142"/>
      <c r="M92" s="142"/>
      <c r="N92" s="142"/>
      <c r="O92" s="142"/>
    </row>
    <row r="93" spans="3:15">
      <c r="I93" s="142"/>
      <c r="J93" s="142"/>
      <c r="K93" s="142"/>
      <c r="L93" s="142"/>
      <c r="M93" s="142"/>
      <c r="N93" s="142"/>
      <c r="O93" s="142"/>
    </row>
    <row r="94" spans="3:15">
      <c r="C94" s="132"/>
      <c r="D94" s="132"/>
      <c r="E94" s="132"/>
      <c r="F94" s="132"/>
      <c r="I94" s="142"/>
      <c r="J94" s="142"/>
      <c r="K94" s="142"/>
      <c r="L94" s="142"/>
      <c r="M94" s="142"/>
      <c r="N94" s="142"/>
      <c r="O94" s="142"/>
    </row>
    <row r="95" spans="3:15">
      <c r="C95" s="132"/>
      <c r="D95" s="132"/>
      <c r="E95" s="132"/>
      <c r="F95" s="132"/>
      <c r="I95" s="142"/>
      <c r="J95" s="142"/>
      <c r="K95" s="142"/>
      <c r="L95" s="142"/>
      <c r="M95" s="142"/>
      <c r="N95" s="142"/>
      <c r="O95" s="142"/>
    </row>
    <row r="96" spans="3:15">
      <c r="I96" s="142"/>
      <c r="J96" s="142"/>
      <c r="K96" s="142"/>
      <c r="L96" s="142"/>
      <c r="M96" s="142"/>
      <c r="N96" s="142"/>
      <c r="O96" s="142"/>
    </row>
    <row r="97" spans="9:15">
      <c r="I97" s="142"/>
      <c r="J97" s="142"/>
      <c r="K97" s="142"/>
      <c r="L97" s="142"/>
      <c r="M97" s="142"/>
      <c r="N97" s="142"/>
      <c r="O97" s="142"/>
    </row>
    <row r="98" spans="9:15">
      <c r="I98" s="142"/>
      <c r="J98" s="142"/>
      <c r="K98" s="142"/>
      <c r="L98" s="142"/>
      <c r="M98" s="142"/>
      <c r="N98" s="142"/>
      <c r="O98" s="142"/>
    </row>
    <row r="99" spans="9:15">
      <c r="I99" s="142"/>
      <c r="J99" s="142"/>
      <c r="K99" s="142"/>
      <c r="L99" s="142"/>
      <c r="M99" s="142"/>
      <c r="N99" s="142"/>
      <c r="O99" s="142"/>
    </row>
    <row r="100" spans="9:15">
      <c r="I100" s="142"/>
      <c r="J100" s="142"/>
      <c r="K100" s="142"/>
      <c r="L100" s="142"/>
      <c r="M100" s="142"/>
      <c r="N100" s="142"/>
      <c r="O100" s="142"/>
    </row>
    <row r="101" spans="9:15">
      <c r="I101" s="142"/>
      <c r="J101" s="142"/>
      <c r="K101" s="142"/>
      <c r="L101" s="142"/>
      <c r="M101" s="142"/>
      <c r="N101" s="142"/>
      <c r="O101" s="142"/>
    </row>
    <row r="102" spans="9:15">
      <c r="I102" s="142"/>
      <c r="J102" s="142"/>
      <c r="K102" s="142"/>
      <c r="L102" s="142"/>
      <c r="M102" s="142"/>
      <c r="N102" s="142"/>
      <c r="O102" s="142"/>
    </row>
    <row r="103" spans="9:15">
      <c r="I103" s="142"/>
      <c r="J103" s="142"/>
      <c r="K103" s="142"/>
      <c r="L103" s="142"/>
      <c r="M103" s="142"/>
      <c r="N103" s="142"/>
      <c r="O103" s="142"/>
    </row>
    <row r="104" spans="9:15">
      <c r="I104" s="142"/>
      <c r="J104" s="142"/>
      <c r="K104" s="142"/>
      <c r="L104" s="142"/>
      <c r="M104" s="142"/>
      <c r="N104" s="142"/>
      <c r="O104" s="142"/>
    </row>
    <row r="105" spans="9:15">
      <c r="I105" s="142"/>
      <c r="J105" s="142"/>
      <c r="K105" s="142"/>
      <c r="L105" s="142"/>
      <c r="M105" s="142"/>
      <c r="N105" s="142"/>
      <c r="O105" s="142"/>
    </row>
    <row r="106" spans="9:15">
      <c r="I106" s="142"/>
      <c r="J106" s="142"/>
      <c r="K106" s="142"/>
      <c r="L106" s="142"/>
      <c r="M106" s="142"/>
      <c r="N106" s="142"/>
      <c r="O106" s="142"/>
    </row>
    <row r="107" spans="9:15">
      <c r="I107" s="142"/>
      <c r="J107" s="142"/>
      <c r="K107" s="142"/>
      <c r="L107" s="142"/>
      <c r="M107" s="142"/>
      <c r="N107" s="142"/>
      <c r="O107" s="142"/>
    </row>
    <row r="108" spans="9:15">
      <c r="I108" s="142"/>
      <c r="J108" s="142"/>
      <c r="K108" s="142"/>
      <c r="L108" s="142"/>
      <c r="M108" s="142"/>
      <c r="N108" s="142"/>
      <c r="O108" s="142"/>
    </row>
    <row r="109" spans="9:15">
      <c r="I109" s="142"/>
      <c r="J109" s="142"/>
      <c r="K109" s="142"/>
      <c r="L109" s="142"/>
      <c r="M109" s="142"/>
      <c r="N109" s="142"/>
      <c r="O109" s="142"/>
    </row>
    <row r="110" spans="9:15">
      <c r="I110" s="142"/>
      <c r="J110" s="142"/>
      <c r="K110" s="142"/>
      <c r="L110" s="142"/>
      <c r="M110" s="142"/>
      <c r="N110" s="142"/>
      <c r="O110" s="142"/>
    </row>
    <row r="111" spans="9:15">
      <c r="I111" s="142"/>
      <c r="J111" s="142"/>
      <c r="K111" s="142"/>
      <c r="L111" s="142"/>
      <c r="M111" s="142"/>
      <c r="N111" s="142"/>
      <c r="O111" s="142"/>
    </row>
    <row r="112" spans="9:15">
      <c r="I112" s="142"/>
      <c r="J112" s="142"/>
      <c r="K112" s="142"/>
      <c r="L112" s="142"/>
      <c r="M112" s="142"/>
      <c r="N112" s="142"/>
      <c r="O112" s="142"/>
    </row>
    <row r="113" spans="9:15">
      <c r="I113" s="142"/>
      <c r="J113" s="142"/>
      <c r="K113" s="142"/>
      <c r="L113" s="142"/>
      <c r="M113" s="142"/>
      <c r="N113" s="142"/>
      <c r="O113" s="142"/>
    </row>
    <row r="114" spans="9:15">
      <c r="I114" s="142"/>
      <c r="J114" s="142"/>
      <c r="K114" s="142"/>
      <c r="L114" s="142"/>
      <c r="M114" s="142"/>
      <c r="N114" s="142"/>
      <c r="O114" s="142"/>
    </row>
    <row r="115" spans="9:15">
      <c r="I115" s="142"/>
      <c r="J115" s="142"/>
      <c r="K115" s="142"/>
      <c r="L115" s="142"/>
      <c r="M115" s="142"/>
      <c r="N115" s="142"/>
      <c r="O115" s="142"/>
    </row>
    <row r="116" spans="9:15">
      <c r="I116" s="142"/>
      <c r="J116" s="142"/>
      <c r="K116" s="142"/>
      <c r="L116" s="142"/>
      <c r="M116" s="142"/>
      <c r="N116" s="142"/>
      <c r="O116" s="142"/>
    </row>
    <row r="117" spans="9:15">
      <c r="I117" s="142"/>
      <c r="J117" s="142"/>
      <c r="K117" s="142"/>
      <c r="L117" s="142"/>
      <c r="M117" s="142"/>
      <c r="N117" s="142"/>
      <c r="O117" s="142"/>
    </row>
    <row r="118" spans="9:15">
      <c r="I118" s="142"/>
      <c r="J118" s="142"/>
      <c r="K118" s="142"/>
      <c r="L118" s="142"/>
      <c r="M118" s="142"/>
      <c r="N118" s="142"/>
      <c r="O118" s="142"/>
    </row>
    <row r="119" spans="9:15">
      <c r="I119" s="142"/>
      <c r="J119" s="142"/>
      <c r="K119" s="142"/>
      <c r="L119" s="142"/>
      <c r="M119" s="142"/>
      <c r="N119" s="142"/>
      <c r="O119" s="142"/>
    </row>
    <row r="120" spans="9:15">
      <c r="I120" s="142"/>
      <c r="J120" s="142"/>
      <c r="K120" s="142"/>
      <c r="L120" s="142"/>
      <c r="M120" s="142"/>
      <c r="N120" s="142"/>
      <c r="O120" s="142"/>
    </row>
    <row r="121" spans="9:15">
      <c r="I121" s="142"/>
      <c r="J121" s="142"/>
      <c r="K121" s="142"/>
      <c r="L121" s="142"/>
      <c r="M121" s="142"/>
      <c r="N121" s="142"/>
      <c r="O121" s="142"/>
    </row>
    <row r="122" spans="9:15">
      <c r="I122" s="142"/>
      <c r="J122" s="142"/>
      <c r="K122" s="142"/>
      <c r="L122" s="142"/>
      <c r="M122" s="142"/>
      <c r="N122" s="142"/>
      <c r="O122" s="142"/>
    </row>
    <row r="123" spans="9:15">
      <c r="I123" s="142"/>
      <c r="J123" s="142"/>
      <c r="K123" s="142"/>
      <c r="L123" s="142"/>
      <c r="M123" s="142"/>
      <c r="N123" s="142"/>
      <c r="O123" s="142"/>
    </row>
    <row r="124" spans="9:15">
      <c r="I124" s="142"/>
      <c r="J124" s="142"/>
      <c r="K124" s="142"/>
      <c r="L124" s="142"/>
      <c r="M124" s="142"/>
      <c r="N124" s="142"/>
      <c r="O124" s="142"/>
    </row>
    <row r="125" spans="9:15">
      <c r="I125" s="142"/>
      <c r="J125" s="142"/>
      <c r="K125" s="142"/>
      <c r="L125" s="142"/>
      <c r="M125" s="142"/>
      <c r="N125" s="142"/>
      <c r="O125" s="142"/>
    </row>
    <row r="126" spans="9:15">
      <c r="I126" s="142"/>
      <c r="J126" s="142"/>
      <c r="K126" s="142"/>
      <c r="L126" s="142"/>
      <c r="M126" s="142"/>
      <c r="N126" s="142"/>
      <c r="O126" s="142"/>
    </row>
    <row r="127" spans="9:15">
      <c r="I127" s="142"/>
      <c r="J127" s="142"/>
      <c r="K127" s="142"/>
      <c r="L127" s="142"/>
      <c r="M127" s="142"/>
      <c r="N127" s="142"/>
      <c r="O127" s="142"/>
    </row>
    <row r="128" spans="9:15">
      <c r="I128" s="142"/>
      <c r="J128" s="142"/>
      <c r="K128" s="142"/>
      <c r="L128" s="142"/>
      <c r="M128" s="142"/>
      <c r="N128" s="142"/>
      <c r="O128" s="142"/>
    </row>
    <row r="129" spans="9:15">
      <c r="I129" s="142"/>
      <c r="J129" s="142"/>
      <c r="K129" s="142"/>
      <c r="L129" s="142"/>
      <c r="M129" s="142"/>
      <c r="N129" s="142"/>
      <c r="O129" s="142"/>
    </row>
    <row r="130" spans="9:15">
      <c r="I130" s="142"/>
      <c r="J130" s="142"/>
      <c r="K130" s="142"/>
      <c r="L130" s="142"/>
      <c r="M130" s="142"/>
      <c r="N130" s="142"/>
      <c r="O130" s="142"/>
    </row>
    <row r="131" spans="9:15">
      <c r="I131" s="142"/>
      <c r="J131" s="142"/>
      <c r="K131" s="142"/>
      <c r="L131" s="142"/>
      <c r="M131" s="142"/>
      <c r="N131" s="142"/>
      <c r="O131" s="142"/>
    </row>
    <row r="132" spans="9:15">
      <c r="I132" s="142"/>
      <c r="J132" s="142"/>
      <c r="K132" s="142"/>
      <c r="L132" s="142"/>
      <c r="M132" s="142"/>
      <c r="N132" s="142"/>
      <c r="O132" s="142"/>
    </row>
    <row r="133" spans="9:15">
      <c r="I133" s="142"/>
      <c r="J133" s="142"/>
      <c r="K133" s="142"/>
      <c r="L133" s="142"/>
      <c r="M133" s="142"/>
      <c r="N133" s="142"/>
      <c r="O133" s="142"/>
    </row>
    <row r="134" spans="9:15">
      <c r="I134" s="142"/>
      <c r="J134" s="142"/>
      <c r="K134" s="142"/>
      <c r="L134" s="142"/>
      <c r="M134" s="142"/>
      <c r="N134" s="142"/>
    </row>
    <row r="135" spans="9:15">
      <c r="I135" s="142"/>
      <c r="J135" s="142"/>
      <c r="K135" s="142"/>
      <c r="L135" s="142"/>
      <c r="M135" s="142"/>
      <c r="N135" s="142"/>
    </row>
    <row r="136" spans="9:15">
      <c r="I136" s="142"/>
      <c r="J136" s="142"/>
      <c r="K136" s="142"/>
      <c r="L136" s="142"/>
      <c r="M136" s="142"/>
      <c r="N136" s="142"/>
    </row>
    <row r="137" spans="9:15">
      <c r="I137" s="142"/>
      <c r="J137" s="142"/>
      <c r="K137" s="142"/>
      <c r="L137" s="142"/>
      <c r="M137" s="142"/>
      <c r="N137" s="142"/>
    </row>
    <row r="138" spans="9:15">
      <c r="I138" s="142"/>
      <c r="J138" s="142"/>
      <c r="K138" s="142"/>
      <c r="L138" s="142"/>
      <c r="M138" s="142"/>
      <c r="N138" s="142"/>
    </row>
    <row r="139" spans="9:15">
      <c r="I139" s="142"/>
      <c r="J139" s="142"/>
      <c r="K139" s="142"/>
      <c r="L139" s="142"/>
      <c r="M139" s="142"/>
      <c r="N139" s="142"/>
    </row>
    <row r="140" spans="9:15">
      <c r="I140" s="142"/>
      <c r="J140" s="142"/>
      <c r="K140" s="142"/>
      <c r="L140" s="142"/>
      <c r="M140" s="142"/>
      <c r="N140" s="142"/>
    </row>
    <row r="141" spans="9:15">
      <c r="I141" s="142"/>
      <c r="J141" s="142"/>
      <c r="K141" s="142"/>
      <c r="L141" s="142"/>
      <c r="M141" s="142"/>
      <c r="N141" s="142"/>
    </row>
    <row r="142" spans="9:15">
      <c r="I142" s="142"/>
      <c r="J142" s="142"/>
      <c r="K142" s="142"/>
      <c r="L142" s="142"/>
      <c r="M142" s="142"/>
      <c r="N142" s="142"/>
    </row>
    <row r="143" spans="9:15">
      <c r="I143" s="142"/>
      <c r="J143" s="142"/>
      <c r="K143" s="142"/>
      <c r="L143" s="142"/>
      <c r="M143" s="142"/>
      <c r="N143" s="142"/>
    </row>
    <row r="144" spans="9:15">
      <c r="I144" s="142"/>
      <c r="J144" s="142"/>
      <c r="K144" s="142"/>
      <c r="L144" s="142"/>
      <c r="M144" s="142"/>
      <c r="N144" s="142"/>
    </row>
    <row r="145" spans="9:14">
      <c r="I145" s="142"/>
      <c r="J145" s="142"/>
      <c r="K145" s="142"/>
      <c r="L145" s="142"/>
      <c r="M145" s="142"/>
      <c r="N145" s="142"/>
    </row>
    <row r="146" spans="9:14">
      <c r="I146" s="142"/>
      <c r="J146" s="142"/>
      <c r="K146" s="142"/>
      <c r="L146" s="142"/>
      <c r="M146" s="142"/>
      <c r="N146" s="142"/>
    </row>
    <row r="147" spans="9:14">
      <c r="I147" s="142"/>
      <c r="J147" s="142"/>
      <c r="K147" s="142"/>
      <c r="L147" s="142"/>
      <c r="M147" s="142"/>
      <c r="N147" s="142"/>
    </row>
    <row r="148" spans="9:14">
      <c r="I148" s="142"/>
      <c r="J148" s="142"/>
      <c r="K148" s="142"/>
      <c r="L148" s="142"/>
      <c r="M148" s="142"/>
      <c r="N148" s="142"/>
    </row>
    <row r="149" spans="9:14">
      <c r="I149" s="142"/>
      <c r="J149" s="142"/>
      <c r="K149" s="142"/>
      <c r="L149" s="142"/>
      <c r="M149" s="142"/>
      <c r="N149" s="142"/>
    </row>
    <row r="150" spans="9:14">
      <c r="J150" s="142"/>
      <c r="K150" s="142"/>
      <c r="L150" s="142"/>
      <c r="M150" s="142"/>
      <c r="N150" s="142"/>
    </row>
    <row r="151" spans="9:14">
      <c r="J151" s="142"/>
      <c r="K151" s="142"/>
      <c r="L151" s="142"/>
      <c r="M151" s="142"/>
      <c r="N151" s="142"/>
    </row>
    <row r="167" spans="15:15">
      <c r="O167" s="142"/>
    </row>
    <row r="168" spans="15:15">
      <c r="O168" s="142"/>
    </row>
    <row r="169" spans="15:15">
      <c r="O169" s="142"/>
    </row>
    <row r="170" spans="15:15">
      <c r="O170" s="142"/>
    </row>
    <row r="171" spans="15:15">
      <c r="O171" s="142"/>
    </row>
    <row r="172" spans="15:15">
      <c r="O172" s="142"/>
    </row>
    <row r="173" spans="15:15">
      <c r="O173" s="142"/>
    </row>
    <row r="174" spans="15:15">
      <c r="O174" s="142"/>
    </row>
    <row r="175" spans="15:15">
      <c r="O175" s="142"/>
    </row>
    <row r="176" spans="15:15">
      <c r="O176" s="142"/>
    </row>
    <row r="177" spans="15:15">
      <c r="O177" s="142"/>
    </row>
    <row r="178" spans="15:15">
      <c r="O178" s="142"/>
    </row>
    <row r="179" spans="15:15">
      <c r="O179" s="142"/>
    </row>
    <row r="180" spans="15:15">
      <c r="O180" s="142"/>
    </row>
    <row r="181" spans="15:15">
      <c r="O181" s="142"/>
    </row>
    <row r="182" spans="15:15">
      <c r="O182" s="142"/>
    </row>
    <row r="183" spans="15:15">
      <c r="O183" s="142"/>
    </row>
    <row r="184" spans="15:15">
      <c r="O184" s="142"/>
    </row>
    <row r="185" spans="15:15">
      <c r="O185" s="142"/>
    </row>
    <row r="186" spans="15:15">
      <c r="O186" s="142"/>
    </row>
  </sheetData>
  <mergeCells count="71">
    <mergeCell ref="Q37:R37"/>
    <mergeCell ref="I51:I56"/>
    <mergeCell ref="K51:L51"/>
    <mergeCell ref="K52:L52"/>
    <mergeCell ref="K53:L53"/>
    <mergeCell ref="K54:L54"/>
    <mergeCell ref="K55:L55"/>
    <mergeCell ref="K56:L56"/>
    <mergeCell ref="K50:L50"/>
    <mergeCell ref="K47:L47"/>
    <mergeCell ref="K48:L48"/>
    <mergeCell ref="K49:L49"/>
    <mergeCell ref="I43:I46"/>
    <mergeCell ref="I47:I50"/>
    <mergeCell ref="K43:L43"/>
    <mergeCell ref="K44:L44"/>
    <mergeCell ref="K42:L42"/>
    <mergeCell ref="K34:L34"/>
    <mergeCell ref="K35:L35"/>
    <mergeCell ref="K36:L36"/>
    <mergeCell ref="K39:L39"/>
    <mergeCell ref="K40:L40"/>
    <mergeCell ref="B5:B7"/>
    <mergeCell ref="B8:B11"/>
    <mergeCell ref="B12:B16"/>
    <mergeCell ref="B21:B24"/>
    <mergeCell ref="B17:B20"/>
    <mergeCell ref="I16:I19"/>
    <mergeCell ref="I20:I23"/>
    <mergeCell ref="I28:I31"/>
    <mergeCell ref="I4:I5"/>
    <mergeCell ref="T17:U17"/>
    <mergeCell ref="I24:I27"/>
    <mergeCell ref="I11:I15"/>
    <mergeCell ref="T4:U4"/>
    <mergeCell ref="T5:U5"/>
    <mergeCell ref="T6:U6"/>
    <mergeCell ref="T7:U7"/>
    <mergeCell ref="I6:I10"/>
    <mergeCell ref="P38:P44"/>
    <mergeCell ref="T13:U13"/>
    <mergeCell ref="M4:M5"/>
    <mergeCell ref="N4:N5"/>
    <mergeCell ref="J4:J5"/>
    <mergeCell ref="T8:U8"/>
    <mergeCell ref="T9:U9"/>
    <mergeCell ref="T10:U10"/>
    <mergeCell ref="T11:U11"/>
    <mergeCell ref="T12:U12"/>
    <mergeCell ref="T14:U14"/>
    <mergeCell ref="T15:U15"/>
    <mergeCell ref="T18:U18"/>
    <mergeCell ref="T19:U19"/>
    <mergeCell ref="T20:U20"/>
    <mergeCell ref="T16:U16"/>
    <mergeCell ref="B47:B60"/>
    <mergeCell ref="B61:B64"/>
    <mergeCell ref="B65:B68"/>
    <mergeCell ref="P57:Q57"/>
    <mergeCell ref="Q45:Q49"/>
    <mergeCell ref="Q51:Q55"/>
    <mergeCell ref="P45:P56"/>
    <mergeCell ref="I57:J57"/>
    <mergeCell ref="K45:L45"/>
    <mergeCell ref="K46:L46"/>
    <mergeCell ref="K57:L57"/>
    <mergeCell ref="B28:B46"/>
    <mergeCell ref="K41:L41"/>
    <mergeCell ref="K37:L37"/>
    <mergeCell ref="K38:L38"/>
    <mergeCell ref="I35:I42"/>
  </mergeCells>
  <phoneticPr fontId="4"/>
  <pageMargins left="0.78740157480314965" right="0.78740157480314965" top="0.78740157480314965" bottom="0.78740157480314965" header="0.39370078740157483" footer="0.39370078740157483"/>
  <pageSetup paperSize="9" scale="51" orientation="landscape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75" zoomScaleNormal="75" zoomScaleSheetLayoutView="100" workbookViewId="0"/>
  </sheetViews>
  <sheetFormatPr defaultRowHeight="13.5"/>
  <cols>
    <col min="1" max="1" width="1.625" style="23" customWidth="1"/>
    <col min="2" max="2" width="18" style="23" customWidth="1"/>
    <col min="3" max="15" width="6.125" style="23" customWidth="1"/>
    <col min="16" max="16384" width="9" style="23"/>
  </cols>
  <sheetData>
    <row r="2" spans="2:15">
      <c r="B2" s="23" t="s">
        <v>599</v>
      </c>
    </row>
    <row r="3" spans="2:15">
      <c r="D3" s="85" t="s">
        <v>188</v>
      </c>
      <c r="E3" s="84" t="s">
        <v>418</v>
      </c>
      <c r="F3" s="84"/>
      <c r="G3" s="85" t="s">
        <v>189</v>
      </c>
      <c r="H3" s="84" t="s">
        <v>294</v>
      </c>
      <c r="I3" s="84"/>
    </row>
    <row r="4" spans="2:15" ht="14.25" thickBot="1">
      <c r="B4" s="3" t="s">
        <v>552</v>
      </c>
      <c r="C4" s="3" t="s">
        <v>553</v>
      </c>
      <c r="D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18">
      <c r="B5" s="504" t="s">
        <v>554</v>
      </c>
      <c r="C5" s="505">
        <v>1</v>
      </c>
      <c r="D5" s="505">
        <v>2</v>
      </c>
      <c r="E5" s="505">
        <v>3</v>
      </c>
      <c r="F5" s="505">
        <v>4</v>
      </c>
      <c r="G5" s="505">
        <v>5</v>
      </c>
      <c r="H5" s="505">
        <v>6</v>
      </c>
      <c r="I5" s="505">
        <v>7</v>
      </c>
      <c r="J5" s="505">
        <v>8</v>
      </c>
      <c r="K5" s="505">
        <v>9</v>
      </c>
      <c r="L5" s="505">
        <v>10</v>
      </c>
      <c r="M5" s="505">
        <v>11</v>
      </c>
      <c r="N5" s="505">
        <v>12</v>
      </c>
      <c r="O5" s="118" t="s">
        <v>555</v>
      </c>
    </row>
    <row r="6" spans="2:15">
      <c r="B6" s="506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119"/>
    </row>
    <row r="7" spans="2:15">
      <c r="B7" s="506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119"/>
    </row>
    <row r="8" spans="2:15">
      <c r="B8" s="506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119"/>
    </row>
    <row r="9" spans="2:15">
      <c r="B9" s="506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119"/>
    </row>
    <row r="10" spans="2:15">
      <c r="B10" s="506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119"/>
    </row>
    <row r="11" spans="2:15" ht="14.25" thickBot="1">
      <c r="B11" s="507" t="s">
        <v>556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9"/>
    </row>
    <row r="13" spans="2:15" ht="14.25" thickBot="1">
      <c r="B13" s="3" t="s">
        <v>552</v>
      </c>
      <c r="C13" s="3" t="s">
        <v>557</v>
      </c>
      <c r="D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15" ht="18">
      <c r="B14" s="504" t="s">
        <v>554</v>
      </c>
      <c r="C14" s="505">
        <v>1</v>
      </c>
      <c r="D14" s="505">
        <v>2</v>
      </c>
      <c r="E14" s="505">
        <v>3</v>
      </c>
      <c r="F14" s="505">
        <v>4</v>
      </c>
      <c r="G14" s="505">
        <v>5</v>
      </c>
      <c r="H14" s="505">
        <v>6</v>
      </c>
      <c r="I14" s="505">
        <v>7</v>
      </c>
      <c r="J14" s="505">
        <v>8</v>
      </c>
      <c r="K14" s="505">
        <v>9</v>
      </c>
      <c r="L14" s="505">
        <v>10</v>
      </c>
      <c r="M14" s="505">
        <v>11</v>
      </c>
      <c r="N14" s="505">
        <v>12</v>
      </c>
      <c r="O14" s="118" t="s">
        <v>555</v>
      </c>
    </row>
    <row r="15" spans="2:15">
      <c r="B15" s="506" t="s">
        <v>559</v>
      </c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119">
        <v>333</v>
      </c>
    </row>
    <row r="16" spans="2:15">
      <c r="B16" s="506" t="s">
        <v>558</v>
      </c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119">
        <v>475</v>
      </c>
    </row>
    <row r="17" spans="2:15">
      <c r="B17" s="506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119"/>
    </row>
    <row r="18" spans="2:15">
      <c r="B18" s="506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119"/>
    </row>
    <row r="19" spans="2:15">
      <c r="B19" s="506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119"/>
    </row>
    <row r="20" spans="2:15" ht="14.25" thickBot="1">
      <c r="B20" s="507" t="s">
        <v>556</v>
      </c>
      <c r="C20" s="508"/>
      <c r="D20" s="508"/>
      <c r="E20" s="508"/>
      <c r="F20" s="508"/>
      <c r="G20" s="508"/>
      <c r="H20" s="508"/>
      <c r="I20" s="508"/>
      <c r="J20" s="508"/>
      <c r="K20" s="508"/>
      <c r="L20" s="508"/>
      <c r="M20" s="508"/>
      <c r="N20" s="508"/>
      <c r="O20" s="509">
        <f>(O15*2+O16)/3</f>
        <v>380.33333333333331</v>
      </c>
    </row>
  </sheetData>
  <phoneticPr fontId="4"/>
  <pageMargins left="0.7" right="0.7" top="0.75" bottom="0.75" header="0.3" footer="0.3"/>
  <pageSetup paperSize="9" scale="8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75" zoomScaleNormal="75" zoomScaleSheetLayoutView="100" workbookViewId="0"/>
  </sheetViews>
  <sheetFormatPr defaultRowHeight="13.5"/>
  <cols>
    <col min="1" max="1" width="1.625" style="23" customWidth="1"/>
    <col min="2" max="2" width="18" style="23" customWidth="1"/>
    <col min="3" max="15" width="6.125" style="23" customWidth="1"/>
    <col min="16" max="16384" width="9" style="23"/>
  </cols>
  <sheetData>
    <row r="2" spans="2:15">
      <c r="B2" s="23" t="s">
        <v>600</v>
      </c>
    </row>
    <row r="3" spans="2:15">
      <c r="D3" s="85" t="s">
        <v>188</v>
      </c>
      <c r="E3" s="84" t="s">
        <v>414</v>
      </c>
      <c r="F3" s="84"/>
      <c r="G3" s="85" t="s">
        <v>189</v>
      </c>
      <c r="H3" s="84" t="s">
        <v>294</v>
      </c>
      <c r="I3" s="84"/>
    </row>
    <row r="4" spans="2:15" ht="14.25" thickBot="1">
      <c r="B4" s="3" t="s">
        <v>552</v>
      </c>
      <c r="C4" s="3" t="s">
        <v>553</v>
      </c>
      <c r="D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18">
      <c r="B5" s="504" t="s">
        <v>554</v>
      </c>
      <c r="C5" s="505">
        <v>1</v>
      </c>
      <c r="D5" s="505">
        <v>2</v>
      </c>
      <c r="E5" s="505">
        <v>3</v>
      </c>
      <c r="F5" s="505">
        <v>4</v>
      </c>
      <c r="G5" s="505">
        <v>5</v>
      </c>
      <c r="H5" s="505">
        <v>6</v>
      </c>
      <c r="I5" s="505">
        <v>7</v>
      </c>
      <c r="J5" s="505">
        <v>8</v>
      </c>
      <c r="K5" s="505">
        <v>9</v>
      </c>
      <c r="L5" s="505">
        <v>10</v>
      </c>
      <c r="M5" s="505">
        <v>11</v>
      </c>
      <c r="N5" s="505">
        <v>12</v>
      </c>
      <c r="O5" s="118" t="s">
        <v>555</v>
      </c>
    </row>
    <row r="6" spans="2:15">
      <c r="B6" s="506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119"/>
    </row>
    <row r="7" spans="2:15">
      <c r="B7" s="506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119"/>
    </row>
    <row r="8" spans="2:15">
      <c r="B8" s="506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119"/>
    </row>
    <row r="9" spans="2:15">
      <c r="B9" s="506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119"/>
    </row>
    <row r="10" spans="2:15">
      <c r="B10" s="506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119"/>
    </row>
    <row r="11" spans="2:15" ht="14.25" thickBot="1">
      <c r="B11" s="507" t="s">
        <v>556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9"/>
    </row>
    <row r="13" spans="2:15" ht="14.25" thickBot="1">
      <c r="B13" s="3" t="s">
        <v>552</v>
      </c>
      <c r="C13" s="3" t="s">
        <v>557</v>
      </c>
      <c r="D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15" ht="18">
      <c r="B14" s="504" t="s">
        <v>554</v>
      </c>
      <c r="C14" s="505">
        <v>1</v>
      </c>
      <c r="D14" s="505">
        <v>2</v>
      </c>
      <c r="E14" s="505">
        <v>3</v>
      </c>
      <c r="F14" s="505">
        <v>4</v>
      </c>
      <c r="G14" s="505">
        <v>5</v>
      </c>
      <c r="H14" s="505">
        <v>6</v>
      </c>
      <c r="I14" s="505">
        <v>7</v>
      </c>
      <c r="J14" s="505">
        <v>8</v>
      </c>
      <c r="K14" s="505">
        <v>9</v>
      </c>
      <c r="L14" s="505">
        <v>10</v>
      </c>
      <c r="M14" s="505">
        <v>11</v>
      </c>
      <c r="N14" s="505">
        <v>12</v>
      </c>
      <c r="O14" s="118" t="s">
        <v>555</v>
      </c>
    </row>
    <row r="15" spans="2:15">
      <c r="B15" s="506" t="s">
        <v>559</v>
      </c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119">
        <v>306</v>
      </c>
    </row>
    <row r="16" spans="2:15">
      <c r="B16" s="506" t="s">
        <v>558</v>
      </c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119">
        <v>475</v>
      </c>
    </row>
    <row r="17" spans="2:15">
      <c r="B17" s="506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119"/>
    </row>
    <row r="18" spans="2:15">
      <c r="B18" s="506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119"/>
    </row>
    <row r="19" spans="2:15">
      <c r="B19" s="506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119"/>
    </row>
    <row r="20" spans="2:15" ht="14.25" thickBot="1">
      <c r="B20" s="507" t="s">
        <v>556</v>
      </c>
      <c r="C20" s="508"/>
      <c r="D20" s="508"/>
      <c r="E20" s="508"/>
      <c r="F20" s="508"/>
      <c r="G20" s="508"/>
      <c r="H20" s="508"/>
      <c r="I20" s="508"/>
      <c r="J20" s="508"/>
      <c r="K20" s="508"/>
      <c r="L20" s="508"/>
      <c r="M20" s="508"/>
      <c r="N20" s="508"/>
      <c r="O20" s="509">
        <f>(O15*2+O16)/3</f>
        <v>362.33333333333331</v>
      </c>
    </row>
  </sheetData>
  <phoneticPr fontId="4"/>
  <pageMargins left="0.7" right="0.7" top="0.75" bottom="0.75" header="0.3" footer="0.3"/>
  <pageSetup paperSize="9" scale="8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75" zoomScaleNormal="75" zoomScaleSheetLayoutView="100" workbookViewId="0"/>
  </sheetViews>
  <sheetFormatPr defaultRowHeight="13.5"/>
  <cols>
    <col min="1" max="1" width="1.625" style="23" customWidth="1"/>
    <col min="2" max="2" width="18" style="23" customWidth="1"/>
    <col min="3" max="15" width="6.125" style="23" customWidth="1"/>
    <col min="16" max="16384" width="9" style="23"/>
  </cols>
  <sheetData>
    <row r="2" spans="2:15">
      <c r="B2" s="23" t="s">
        <v>601</v>
      </c>
    </row>
    <row r="3" spans="2:15">
      <c r="D3" s="85" t="s">
        <v>188</v>
      </c>
      <c r="E3" s="84" t="s">
        <v>417</v>
      </c>
      <c r="F3" s="84"/>
      <c r="G3" s="85" t="s">
        <v>189</v>
      </c>
      <c r="H3" s="84" t="s">
        <v>294</v>
      </c>
      <c r="I3" s="84"/>
    </row>
    <row r="4" spans="2:15" ht="14.25" thickBot="1">
      <c r="B4" s="3" t="s">
        <v>552</v>
      </c>
      <c r="C4" s="3" t="s">
        <v>553</v>
      </c>
      <c r="D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18">
      <c r="B5" s="504" t="s">
        <v>554</v>
      </c>
      <c r="C5" s="505">
        <v>1</v>
      </c>
      <c r="D5" s="505">
        <v>2</v>
      </c>
      <c r="E5" s="505">
        <v>3</v>
      </c>
      <c r="F5" s="505">
        <v>4</v>
      </c>
      <c r="G5" s="505">
        <v>5</v>
      </c>
      <c r="H5" s="505">
        <v>6</v>
      </c>
      <c r="I5" s="505">
        <v>7</v>
      </c>
      <c r="J5" s="505">
        <v>8</v>
      </c>
      <c r="K5" s="505">
        <v>9</v>
      </c>
      <c r="L5" s="505">
        <v>10</v>
      </c>
      <c r="M5" s="505">
        <v>11</v>
      </c>
      <c r="N5" s="505">
        <v>12</v>
      </c>
      <c r="O5" s="118" t="s">
        <v>555</v>
      </c>
    </row>
    <row r="6" spans="2:15">
      <c r="B6" s="506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119"/>
    </row>
    <row r="7" spans="2:15">
      <c r="B7" s="506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119"/>
    </row>
    <row r="8" spans="2:15">
      <c r="B8" s="506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119"/>
    </row>
    <row r="9" spans="2:15">
      <c r="B9" s="506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119"/>
    </row>
    <row r="10" spans="2:15">
      <c r="B10" s="506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119"/>
    </row>
    <row r="11" spans="2:15" ht="14.25" thickBot="1">
      <c r="B11" s="507" t="s">
        <v>556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9"/>
    </row>
    <row r="13" spans="2:15" ht="14.25" thickBot="1">
      <c r="B13" s="3" t="s">
        <v>552</v>
      </c>
      <c r="C13" s="3" t="s">
        <v>557</v>
      </c>
      <c r="D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15" ht="18">
      <c r="B14" s="504" t="s">
        <v>554</v>
      </c>
      <c r="C14" s="505">
        <v>1</v>
      </c>
      <c r="D14" s="505">
        <v>2</v>
      </c>
      <c r="E14" s="505">
        <v>3</v>
      </c>
      <c r="F14" s="505">
        <v>4</v>
      </c>
      <c r="G14" s="505">
        <v>5</v>
      </c>
      <c r="H14" s="505">
        <v>6</v>
      </c>
      <c r="I14" s="505">
        <v>7</v>
      </c>
      <c r="J14" s="505">
        <v>8</v>
      </c>
      <c r="K14" s="505">
        <v>9</v>
      </c>
      <c r="L14" s="505">
        <v>10</v>
      </c>
      <c r="M14" s="505">
        <v>11</v>
      </c>
      <c r="N14" s="505">
        <v>12</v>
      </c>
      <c r="O14" s="118" t="s">
        <v>555</v>
      </c>
    </row>
    <row r="15" spans="2:15">
      <c r="B15" s="506" t="s">
        <v>559</v>
      </c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119">
        <v>275</v>
      </c>
    </row>
    <row r="16" spans="2:15">
      <c r="B16" s="506" t="s">
        <v>558</v>
      </c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119">
        <v>475</v>
      </c>
    </row>
    <row r="17" spans="2:15">
      <c r="B17" s="506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119"/>
    </row>
    <row r="18" spans="2:15">
      <c r="B18" s="506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119"/>
    </row>
    <row r="19" spans="2:15">
      <c r="B19" s="506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119"/>
    </row>
    <row r="20" spans="2:15" ht="14.25" thickBot="1">
      <c r="B20" s="507" t="s">
        <v>556</v>
      </c>
      <c r="C20" s="508"/>
      <c r="D20" s="508"/>
      <c r="E20" s="508"/>
      <c r="F20" s="508"/>
      <c r="G20" s="508"/>
      <c r="H20" s="508"/>
      <c r="I20" s="508"/>
      <c r="J20" s="508"/>
      <c r="K20" s="508"/>
      <c r="L20" s="508"/>
      <c r="M20" s="508"/>
      <c r="N20" s="508"/>
      <c r="O20" s="509">
        <f>(O15*2+O16)/3</f>
        <v>341.66666666666669</v>
      </c>
    </row>
  </sheetData>
  <phoneticPr fontId="4"/>
  <pageMargins left="0.7" right="0.7" top="0.75" bottom="0.75" header="0.3" footer="0.3"/>
  <pageSetup paperSize="9" scale="8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75" zoomScaleNormal="75" zoomScaleSheetLayoutView="100" workbookViewId="0">
      <selection activeCell="U31" sqref="U31"/>
    </sheetView>
  </sheetViews>
  <sheetFormatPr defaultRowHeight="13.5"/>
  <cols>
    <col min="1" max="1" width="1.625" style="23" customWidth="1"/>
    <col min="2" max="2" width="18" style="23" customWidth="1"/>
    <col min="3" max="15" width="6.125" style="23" customWidth="1"/>
    <col min="16" max="16384" width="9" style="23"/>
  </cols>
  <sheetData>
    <row r="2" spans="2:15">
      <c r="B2" s="23" t="s">
        <v>602</v>
      </c>
    </row>
    <row r="3" spans="2:15">
      <c r="D3" s="85" t="s">
        <v>188</v>
      </c>
      <c r="E3" s="84" t="s">
        <v>560</v>
      </c>
      <c r="F3" s="84"/>
      <c r="G3" s="85" t="s">
        <v>189</v>
      </c>
      <c r="H3" s="84" t="s">
        <v>294</v>
      </c>
      <c r="I3" s="84"/>
    </row>
    <row r="4" spans="2:15" ht="14.25" thickBot="1">
      <c r="B4" s="3" t="s">
        <v>552</v>
      </c>
      <c r="C4" s="3" t="s">
        <v>553</v>
      </c>
      <c r="D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18">
      <c r="B5" s="504" t="s">
        <v>554</v>
      </c>
      <c r="C5" s="505">
        <v>1</v>
      </c>
      <c r="D5" s="505">
        <v>2</v>
      </c>
      <c r="E5" s="505">
        <v>3</v>
      </c>
      <c r="F5" s="505">
        <v>4</v>
      </c>
      <c r="G5" s="505">
        <v>5</v>
      </c>
      <c r="H5" s="505">
        <v>6</v>
      </c>
      <c r="I5" s="505">
        <v>7</v>
      </c>
      <c r="J5" s="505">
        <v>8</v>
      </c>
      <c r="K5" s="505">
        <v>9</v>
      </c>
      <c r="L5" s="505">
        <v>10</v>
      </c>
      <c r="M5" s="505">
        <v>11</v>
      </c>
      <c r="N5" s="505">
        <v>12</v>
      </c>
      <c r="O5" s="118" t="s">
        <v>555</v>
      </c>
    </row>
    <row r="6" spans="2:15">
      <c r="B6" s="506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119"/>
    </row>
    <row r="7" spans="2:15">
      <c r="B7" s="506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119"/>
    </row>
    <row r="8" spans="2:15">
      <c r="B8" s="506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119"/>
    </row>
    <row r="9" spans="2:15">
      <c r="B9" s="506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119"/>
    </row>
    <row r="10" spans="2:15">
      <c r="B10" s="506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119"/>
    </row>
    <row r="11" spans="2:15" ht="14.25" thickBot="1">
      <c r="B11" s="507" t="s">
        <v>556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9"/>
    </row>
    <row r="13" spans="2:15" ht="14.25" thickBot="1">
      <c r="B13" s="3" t="s">
        <v>552</v>
      </c>
      <c r="C13" s="3" t="s">
        <v>557</v>
      </c>
      <c r="D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15" ht="18">
      <c r="B14" s="504" t="s">
        <v>554</v>
      </c>
      <c r="C14" s="505">
        <v>1</v>
      </c>
      <c r="D14" s="505">
        <v>2</v>
      </c>
      <c r="E14" s="505">
        <v>3</v>
      </c>
      <c r="F14" s="505">
        <v>4</v>
      </c>
      <c r="G14" s="505">
        <v>5</v>
      </c>
      <c r="H14" s="505">
        <v>6</v>
      </c>
      <c r="I14" s="505">
        <v>7</v>
      </c>
      <c r="J14" s="505">
        <v>8</v>
      </c>
      <c r="K14" s="505">
        <v>9</v>
      </c>
      <c r="L14" s="505">
        <v>10</v>
      </c>
      <c r="M14" s="505">
        <v>11</v>
      </c>
      <c r="N14" s="505">
        <v>12</v>
      </c>
      <c r="O14" s="118" t="s">
        <v>555</v>
      </c>
    </row>
    <row r="15" spans="2:15">
      <c r="B15" s="506" t="s">
        <v>559</v>
      </c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119">
        <v>253</v>
      </c>
    </row>
    <row r="16" spans="2:15">
      <c r="B16" s="506" t="s">
        <v>558</v>
      </c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119">
        <v>475</v>
      </c>
    </row>
    <row r="17" spans="2:15">
      <c r="B17" s="506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119"/>
    </row>
    <row r="18" spans="2:15">
      <c r="B18" s="506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119"/>
    </row>
    <row r="19" spans="2:15">
      <c r="B19" s="506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119"/>
    </row>
    <row r="20" spans="2:15" ht="14.25" thickBot="1">
      <c r="B20" s="507" t="s">
        <v>556</v>
      </c>
      <c r="C20" s="508"/>
      <c r="D20" s="508"/>
      <c r="E20" s="508"/>
      <c r="F20" s="508"/>
      <c r="G20" s="508"/>
      <c r="H20" s="508"/>
      <c r="I20" s="508"/>
      <c r="J20" s="508"/>
      <c r="K20" s="508"/>
      <c r="L20" s="508"/>
      <c r="M20" s="508"/>
      <c r="N20" s="508"/>
      <c r="O20" s="509">
        <f>(O15*2+O16)/3</f>
        <v>327</v>
      </c>
    </row>
  </sheetData>
  <phoneticPr fontId="4"/>
  <pageMargins left="0.7" right="0.7" top="0.75" bottom="0.75" header="0.3" footer="0.3"/>
  <pageSetup paperSize="9" scale="8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4"/>
  <sheetViews>
    <sheetView view="pageBreakPreview" zoomScale="80" zoomScaleNormal="100" zoomScaleSheetLayoutView="80" workbookViewId="0">
      <selection activeCell="R14" sqref="R14"/>
    </sheetView>
  </sheetViews>
  <sheetFormatPr defaultRowHeight="13.5"/>
  <cols>
    <col min="1" max="1" width="1.625" style="23" customWidth="1"/>
    <col min="2" max="2" width="18" style="23" customWidth="1"/>
    <col min="3" max="3" width="6.125" style="23" customWidth="1"/>
    <col min="4" max="4" width="10.5" style="23" customWidth="1"/>
    <col min="5" max="5" width="8.625" style="23" customWidth="1"/>
    <col min="6" max="7" width="12.125" style="23" customWidth="1"/>
    <col min="8" max="11" width="6.125" style="23" customWidth="1"/>
    <col min="12" max="12" width="17.125" style="23" bestFit="1" customWidth="1"/>
    <col min="13" max="15" width="6.125" style="23" customWidth="1"/>
    <col min="16" max="18" width="9" style="23"/>
    <col min="19" max="20" width="12.875" style="23" customWidth="1"/>
    <col min="21" max="21" width="9" style="23"/>
    <col min="22" max="22" width="11" style="23" bestFit="1" customWidth="1"/>
    <col min="23" max="16384" width="9" style="23"/>
  </cols>
  <sheetData>
    <row r="1" spans="2:18" ht="9.9499999999999993" customHeight="1"/>
    <row r="2" spans="2:18" ht="24.95" customHeight="1">
      <c r="B2" s="23" t="s">
        <v>518</v>
      </c>
    </row>
    <row r="3" spans="2:18" ht="20.100000000000001" customHeight="1">
      <c r="D3" s="23" t="s">
        <v>400</v>
      </c>
      <c r="F3" s="23" t="s">
        <v>467</v>
      </c>
      <c r="G3" s="23" t="s">
        <v>468</v>
      </c>
      <c r="L3" s="23" t="s">
        <v>411</v>
      </c>
      <c r="P3" s="23" t="s">
        <v>471</v>
      </c>
    </row>
    <row r="4" spans="2:18" ht="20.100000000000001" customHeight="1">
      <c r="D4" s="377" t="s">
        <v>404</v>
      </c>
      <c r="E4" s="377"/>
      <c r="F4" s="377" t="s">
        <v>398</v>
      </c>
      <c r="G4" s="377" t="s">
        <v>399</v>
      </c>
      <c r="H4" s="377" t="s">
        <v>403</v>
      </c>
      <c r="L4" s="377" t="s">
        <v>396</v>
      </c>
      <c r="M4" s="380">
        <v>349</v>
      </c>
      <c r="P4" s="23" t="s">
        <v>414</v>
      </c>
      <c r="Q4" s="377" t="s">
        <v>415</v>
      </c>
      <c r="R4" s="377">
        <f>+M7</f>
        <v>305.66666666666669</v>
      </c>
    </row>
    <row r="5" spans="2:18" ht="20.100000000000001" customHeight="1">
      <c r="D5" s="871" t="s">
        <v>396</v>
      </c>
      <c r="E5" s="377" t="s">
        <v>397</v>
      </c>
      <c r="F5" s="377">
        <v>55575</v>
      </c>
      <c r="G5" s="377">
        <v>19499881</v>
      </c>
      <c r="H5" s="377">
        <f>+G5/F5</f>
        <v>350.87505173189385</v>
      </c>
      <c r="L5" s="377" t="s">
        <v>406</v>
      </c>
      <c r="M5" s="377">
        <v>280</v>
      </c>
      <c r="Q5" s="377" t="s">
        <v>416</v>
      </c>
      <c r="R5" s="377">
        <f>+M20</f>
        <v>474.66666666666669</v>
      </c>
    </row>
    <row r="6" spans="2:18" ht="20.100000000000001" customHeight="1">
      <c r="D6" s="871"/>
      <c r="E6" s="377" t="s">
        <v>401</v>
      </c>
      <c r="F6" s="377">
        <v>37943</v>
      </c>
      <c r="G6" s="377">
        <v>11376751</v>
      </c>
      <c r="H6" s="377">
        <f t="shared" ref="H6:H16" si="0">+G6/F6</f>
        <v>299.83794112220966</v>
      </c>
      <c r="L6" s="377" t="s">
        <v>407</v>
      </c>
      <c r="M6" s="377">
        <v>288</v>
      </c>
      <c r="Q6" s="377" t="s">
        <v>402</v>
      </c>
      <c r="R6" s="377">
        <f>+(R4*2+R5)/3</f>
        <v>362</v>
      </c>
    </row>
    <row r="7" spans="2:18" ht="20.100000000000001" customHeight="1">
      <c r="D7" s="871"/>
      <c r="E7" s="377" t="s">
        <v>405</v>
      </c>
      <c r="F7" s="377">
        <f>SUM(F5:F6)</f>
        <v>93518</v>
      </c>
      <c r="G7" s="377">
        <f>SUM(G5:G6)</f>
        <v>30876632</v>
      </c>
      <c r="H7" s="377">
        <f t="shared" si="0"/>
        <v>330.16779657392158</v>
      </c>
      <c r="L7" s="377" t="s">
        <v>402</v>
      </c>
      <c r="M7" s="377">
        <f>AVERAGE(M4:M6)</f>
        <v>305.66666666666669</v>
      </c>
    </row>
    <row r="8" spans="2:18" ht="20.100000000000001" customHeight="1">
      <c r="D8" s="871" t="s">
        <v>406</v>
      </c>
      <c r="E8" s="377" t="s">
        <v>397</v>
      </c>
      <c r="F8" s="377">
        <v>71947</v>
      </c>
      <c r="G8" s="377">
        <v>27811676</v>
      </c>
      <c r="H8" s="377">
        <f t="shared" si="0"/>
        <v>386.55782728953255</v>
      </c>
      <c r="P8" s="23" t="s">
        <v>417</v>
      </c>
      <c r="Q8" s="377" t="s">
        <v>415</v>
      </c>
      <c r="R8" s="377">
        <f>+M13</f>
        <v>274.66666666666669</v>
      </c>
    </row>
    <row r="9" spans="2:18" ht="20.100000000000001" customHeight="1">
      <c r="D9" s="871"/>
      <c r="E9" s="377" t="s">
        <v>401</v>
      </c>
      <c r="F9" s="377">
        <v>46220</v>
      </c>
      <c r="G9" s="377">
        <v>13906463</v>
      </c>
      <c r="H9" s="377">
        <f t="shared" si="0"/>
        <v>300.87544353093898</v>
      </c>
      <c r="L9" s="23" t="s">
        <v>412</v>
      </c>
      <c r="Q9" s="377" t="s">
        <v>416</v>
      </c>
      <c r="R9" s="377">
        <f>+M20</f>
        <v>474.66666666666669</v>
      </c>
    </row>
    <row r="10" spans="2:18" ht="20.100000000000001" customHeight="1">
      <c r="D10" s="871"/>
      <c r="E10" s="377" t="s">
        <v>405</v>
      </c>
      <c r="F10" s="377">
        <f>SUM(F8:F9)</f>
        <v>118167</v>
      </c>
      <c r="G10" s="377">
        <f>SUM(G8:G9)</f>
        <v>41718139</v>
      </c>
      <c r="H10" s="377">
        <f t="shared" si="0"/>
        <v>353.04390396642043</v>
      </c>
      <c r="L10" s="377" t="s">
        <v>396</v>
      </c>
      <c r="M10" s="377">
        <v>249</v>
      </c>
      <c r="Q10" s="377" t="s">
        <v>402</v>
      </c>
      <c r="R10" s="395">
        <f>+(R8*2+R9)/3</f>
        <v>341.33333333333331</v>
      </c>
    </row>
    <row r="11" spans="2:18" ht="20.100000000000001" customHeight="1">
      <c r="D11" s="871" t="s">
        <v>407</v>
      </c>
      <c r="E11" s="377" t="s">
        <v>397</v>
      </c>
      <c r="F11" s="377">
        <v>106800</v>
      </c>
      <c r="G11" s="377">
        <v>37717653</v>
      </c>
      <c r="H11" s="377">
        <f t="shared" si="0"/>
        <v>353.16154494382022</v>
      </c>
      <c r="L11" s="377" t="s">
        <v>406</v>
      </c>
      <c r="M11" s="377">
        <v>279</v>
      </c>
    </row>
    <row r="12" spans="2:18" ht="20.100000000000001" customHeight="1">
      <c r="D12" s="871"/>
      <c r="E12" s="377" t="s">
        <v>401</v>
      </c>
      <c r="F12" s="377">
        <v>49241</v>
      </c>
      <c r="G12" s="377">
        <v>12239430</v>
      </c>
      <c r="H12" s="377">
        <f t="shared" si="0"/>
        <v>248.56176763266384</v>
      </c>
      <c r="L12" s="377" t="s">
        <v>407</v>
      </c>
      <c r="M12" s="377">
        <v>296</v>
      </c>
      <c r="P12" s="23" t="s">
        <v>418</v>
      </c>
      <c r="Q12" s="377" t="s">
        <v>415</v>
      </c>
      <c r="R12" s="377">
        <f>+H16</f>
        <v>333.26948325655519</v>
      </c>
    </row>
    <row r="13" spans="2:18" ht="20.100000000000001" customHeight="1">
      <c r="D13" s="871"/>
      <c r="E13" s="377" t="s">
        <v>405</v>
      </c>
      <c r="F13" s="377">
        <f>SUM(F11:F12)</f>
        <v>156041</v>
      </c>
      <c r="G13" s="377">
        <f>SUM(G11:G12)</f>
        <v>49957083</v>
      </c>
      <c r="H13" s="377">
        <f t="shared" si="0"/>
        <v>320.15356861337727</v>
      </c>
      <c r="L13" s="377" t="s">
        <v>402</v>
      </c>
      <c r="M13" s="377">
        <f>AVERAGE(M10:M12)</f>
        <v>274.66666666666669</v>
      </c>
      <c r="Q13" s="377" t="s">
        <v>416</v>
      </c>
      <c r="R13" s="377">
        <f>+M20</f>
        <v>474.66666666666669</v>
      </c>
    </row>
    <row r="14" spans="2:18" ht="20.100000000000001" customHeight="1">
      <c r="D14" s="871" t="s">
        <v>408</v>
      </c>
      <c r="E14" s="377" t="s">
        <v>397</v>
      </c>
      <c r="F14" s="377">
        <f>+(F5+F8+F11)/3</f>
        <v>78107.333333333328</v>
      </c>
      <c r="G14" s="377">
        <f>+(G5+G8+G11)/3</f>
        <v>28343070</v>
      </c>
      <c r="H14" s="377">
        <f t="shared" si="0"/>
        <v>362.87335376106387</v>
      </c>
      <c r="Q14" s="377" t="s">
        <v>402</v>
      </c>
      <c r="R14" s="395">
        <f>+(R12*2+R13)/3</f>
        <v>380.40187772659237</v>
      </c>
    </row>
    <row r="15" spans="2:18" ht="20.100000000000001" customHeight="1">
      <c r="D15" s="871"/>
      <c r="E15" s="377" t="s">
        <v>401</v>
      </c>
      <c r="F15" s="377">
        <f t="shared" ref="F15:G16" si="1">+(F6+F9+F12)/3</f>
        <v>44468</v>
      </c>
      <c r="G15" s="377">
        <f t="shared" si="1"/>
        <v>12507548</v>
      </c>
      <c r="H15" s="377">
        <f t="shared" si="0"/>
        <v>281.27075649905549</v>
      </c>
    </row>
    <row r="16" spans="2:18" ht="20.100000000000001" customHeight="1">
      <c r="D16" s="871"/>
      <c r="E16" s="377" t="s">
        <v>405</v>
      </c>
      <c r="F16" s="377">
        <f t="shared" si="1"/>
        <v>122575.33333333333</v>
      </c>
      <c r="G16" s="377">
        <f t="shared" si="1"/>
        <v>40850618</v>
      </c>
      <c r="H16" s="377">
        <f t="shared" si="0"/>
        <v>333.26948325655519</v>
      </c>
      <c r="L16" s="23" t="s">
        <v>413</v>
      </c>
      <c r="P16" s="23" t="s">
        <v>464</v>
      </c>
      <c r="Q16" s="377" t="s">
        <v>415</v>
      </c>
      <c r="R16" s="377">
        <f>+E24</f>
        <v>253.33333333333334</v>
      </c>
    </row>
    <row r="17" spans="4:18" ht="20.100000000000001" customHeight="1">
      <c r="L17" s="377" t="s">
        <v>396</v>
      </c>
      <c r="M17" s="377">
        <v>476</v>
      </c>
      <c r="P17" s="23" t="s">
        <v>465</v>
      </c>
      <c r="Q17" s="377" t="s">
        <v>416</v>
      </c>
      <c r="R17" s="377">
        <f>+M20</f>
        <v>474.66666666666669</v>
      </c>
    </row>
    <row r="18" spans="4:18" ht="20.100000000000001" customHeight="1">
      <c r="D18" s="23" t="s">
        <v>409</v>
      </c>
      <c r="F18" s="23" t="s">
        <v>463</v>
      </c>
      <c r="L18" s="377" t="s">
        <v>406</v>
      </c>
      <c r="M18" s="377">
        <v>519</v>
      </c>
      <c r="Q18" s="377" t="s">
        <v>402</v>
      </c>
      <c r="R18" s="395">
        <f>+(R16*2+R17)/3</f>
        <v>327.11111111111114</v>
      </c>
    </row>
    <row r="19" spans="4:18">
      <c r="D19" s="23" t="s">
        <v>466</v>
      </c>
      <c r="L19" s="377" t="s">
        <v>407</v>
      </c>
      <c r="M19" s="377">
        <v>429</v>
      </c>
    </row>
    <row r="20" spans="4:18">
      <c r="D20" s="377"/>
      <c r="E20" s="377" t="s">
        <v>403</v>
      </c>
      <c r="L20" s="377" t="s">
        <v>402</v>
      </c>
      <c r="M20" s="377">
        <f>AVERAGE(M17:M19)</f>
        <v>474.66666666666669</v>
      </c>
    </row>
    <row r="21" spans="4:18">
      <c r="D21" s="377" t="s">
        <v>396</v>
      </c>
      <c r="E21" s="377">
        <v>272</v>
      </c>
    </row>
    <row r="22" spans="4:18">
      <c r="D22" s="377" t="s">
        <v>406</v>
      </c>
      <c r="E22" s="377">
        <v>242</v>
      </c>
    </row>
    <row r="23" spans="4:18">
      <c r="D23" s="377" t="s">
        <v>407</v>
      </c>
      <c r="E23" s="377">
        <v>246</v>
      </c>
    </row>
    <row r="24" spans="4:18">
      <c r="D24" s="377" t="s">
        <v>402</v>
      </c>
      <c r="E24" s="377">
        <f>AVERAGE(E21:E23)</f>
        <v>253.33333333333334</v>
      </c>
    </row>
  </sheetData>
  <mergeCells count="4">
    <mergeCell ref="D5:D7"/>
    <mergeCell ref="D8:D10"/>
    <mergeCell ref="D11:D13"/>
    <mergeCell ref="D14:D16"/>
  </mergeCells>
  <phoneticPr fontId="4"/>
  <pageMargins left="0.78740157480314965" right="0.78740157480314965" top="0.78740157480314965" bottom="0.78740157480314965" header="0.39370078740157483" footer="0.39370078740157483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zoomScale="75" zoomScaleNormal="75" zoomScaleSheetLayoutView="75" workbookViewId="0"/>
  </sheetViews>
  <sheetFormatPr defaultRowHeight="13.5"/>
  <cols>
    <col min="1" max="1" width="1.625" style="45" customWidth="1"/>
    <col min="2" max="2" width="7.625" style="45" customWidth="1"/>
    <col min="3" max="3" width="25.625" style="45" customWidth="1"/>
    <col min="4" max="13" width="15.625" style="45" customWidth="1"/>
    <col min="14" max="16384" width="9" style="45"/>
  </cols>
  <sheetData>
    <row r="1" spans="2:13" ht="9.9499999999999993" customHeight="1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2:13" ht="24.95" customHeight="1" thickBot="1">
      <c r="B2" s="243" t="s">
        <v>544</v>
      </c>
      <c r="F2" s="246" t="s">
        <v>188</v>
      </c>
      <c r="G2" s="243" t="s">
        <v>545</v>
      </c>
      <c r="I2" s="246" t="s">
        <v>189</v>
      </c>
      <c r="J2" s="243" t="s">
        <v>294</v>
      </c>
    </row>
    <row r="3" spans="2:13" ht="20.100000000000001" customHeight="1">
      <c r="B3" s="685" t="s">
        <v>88</v>
      </c>
      <c r="C3" s="686"/>
      <c r="D3" s="46" t="s">
        <v>300</v>
      </c>
      <c r="E3" s="46" t="s">
        <v>293</v>
      </c>
      <c r="F3" s="336" t="s">
        <v>278</v>
      </c>
      <c r="G3" s="336" t="s">
        <v>279</v>
      </c>
      <c r="H3" s="336" t="s">
        <v>280</v>
      </c>
      <c r="I3" s="336" t="s">
        <v>281</v>
      </c>
      <c r="J3" s="336" t="s">
        <v>282</v>
      </c>
      <c r="K3" s="336" t="s">
        <v>283</v>
      </c>
      <c r="L3" s="336" t="s">
        <v>284</v>
      </c>
      <c r="M3" s="336" t="s">
        <v>285</v>
      </c>
    </row>
    <row r="4" spans="2:13" ht="150" customHeight="1">
      <c r="B4" s="684" t="s">
        <v>79</v>
      </c>
      <c r="C4" s="47" t="s">
        <v>80</v>
      </c>
      <c r="D4" s="48" t="s">
        <v>575</v>
      </c>
      <c r="E4" s="48" t="s">
        <v>302</v>
      </c>
      <c r="F4" s="48" t="s">
        <v>297</v>
      </c>
      <c r="G4" s="48"/>
      <c r="H4" s="48"/>
      <c r="I4" s="48" t="s">
        <v>318</v>
      </c>
      <c r="J4" s="48"/>
      <c r="K4" s="48" t="s">
        <v>546</v>
      </c>
      <c r="L4" s="48" t="s">
        <v>323</v>
      </c>
      <c r="M4" s="48" t="s">
        <v>325</v>
      </c>
    </row>
    <row r="5" spans="2:13" ht="20.100000000000001" customHeight="1">
      <c r="B5" s="684"/>
      <c r="C5" s="47" t="s">
        <v>81</v>
      </c>
      <c r="D5" s="364" t="s">
        <v>299</v>
      </c>
      <c r="E5" s="364" t="s">
        <v>292</v>
      </c>
      <c r="F5" s="364" t="s">
        <v>296</v>
      </c>
      <c r="G5" s="364" t="s">
        <v>292</v>
      </c>
      <c r="H5" s="364" t="s">
        <v>289</v>
      </c>
      <c r="I5" s="334" t="s">
        <v>291</v>
      </c>
      <c r="J5" s="334" t="s">
        <v>290</v>
      </c>
      <c r="K5" s="334" t="s">
        <v>288</v>
      </c>
      <c r="L5" s="334" t="s">
        <v>286</v>
      </c>
      <c r="M5" s="334" t="s">
        <v>287</v>
      </c>
    </row>
    <row r="6" spans="2:13" ht="150" customHeight="1">
      <c r="B6" s="684"/>
      <c r="C6" s="47" t="s">
        <v>87</v>
      </c>
      <c r="D6" s="365" t="s">
        <v>301</v>
      </c>
      <c r="E6" s="365" t="s">
        <v>344</v>
      </c>
      <c r="F6" s="365" t="s">
        <v>298</v>
      </c>
      <c r="G6" s="365"/>
      <c r="H6" s="48" t="s">
        <v>316</v>
      </c>
      <c r="I6" s="48" t="s">
        <v>317</v>
      </c>
      <c r="J6" s="48" t="s">
        <v>320</v>
      </c>
      <c r="K6" s="48" t="s">
        <v>321</v>
      </c>
      <c r="L6" s="48" t="s">
        <v>343</v>
      </c>
      <c r="M6" s="49" t="s">
        <v>324</v>
      </c>
    </row>
    <row r="7" spans="2:13" ht="20.100000000000001" customHeight="1">
      <c r="B7" s="684"/>
      <c r="C7" s="52" t="s">
        <v>84</v>
      </c>
      <c r="D7" s="50"/>
      <c r="E7" s="50"/>
      <c r="F7" s="50"/>
      <c r="G7" s="50"/>
      <c r="H7" s="47">
        <v>3.8</v>
      </c>
      <c r="I7" s="47"/>
      <c r="J7" s="47"/>
      <c r="K7" s="47">
        <v>6</v>
      </c>
      <c r="L7" s="47">
        <v>19.7</v>
      </c>
      <c r="M7" s="51">
        <v>2.4</v>
      </c>
    </row>
    <row r="8" spans="2:13" ht="20.100000000000001" customHeight="1">
      <c r="B8" s="684"/>
      <c r="C8" s="50" t="s">
        <v>85</v>
      </c>
      <c r="D8" s="50">
        <v>41</v>
      </c>
      <c r="E8" s="50">
        <v>5.4</v>
      </c>
      <c r="F8" s="50">
        <v>1.2</v>
      </c>
      <c r="G8" s="50">
        <v>52</v>
      </c>
      <c r="H8" s="47">
        <v>3.8</v>
      </c>
      <c r="I8" s="47">
        <v>5</v>
      </c>
      <c r="J8" s="47">
        <v>5</v>
      </c>
      <c r="K8" s="47">
        <v>85</v>
      </c>
      <c r="L8" s="47">
        <v>19.7</v>
      </c>
      <c r="M8" s="51">
        <v>2.4</v>
      </c>
    </row>
    <row r="9" spans="2:13" ht="20.100000000000001" customHeight="1">
      <c r="B9" s="684"/>
      <c r="C9" s="47" t="s">
        <v>86</v>
      </c>
      <c r="D9" s="47"/>
      <c r="E9" s="47"/>
      <c r="F9" s="47"/>
      <c r="G9" s="47"/>
      <c r="H9" s="47"/>
      <c r="I9" s="47"/>
      <c r="J9" s="47"/>
      <c r="K9" s="47"/>
      <c r="L9" s="47"/>
      <c r="M9" s="51"/>
    </row>
    <row r="10" spans="2:13" ht="150" customHeight="1">
      <c r="B10" s="689" t="s">
        <v>82</v>
      </c>
      <c r="C10" s="690"/>
      <c r="D10" s="48" t="s">
        <v>521</v>
      </c>
      <c r="E10" s="48"/>
      <c r="F10" s="53"/>
      <c r="G10" s="50"/>
      <c r="H10" s="364" t="s">
        <v>322</v>
      </c>
      <c r="I10" s="50"/>
      <c r="J10" s="50"/>
      <c r="K10" s="50"/>
      <c r="L10" s="50"/>
      <c r="M10" s="54"/>
    </row>
    <row r="11" spans="2:13" ht="150" customHeight="1" thickBot="1">
      <c r="B11" s="687" t="s">
        <v>83</v>
      </c>
      <c r="C11" s="688"/>
      <c r="D11" s="55"/>
      <c r="E11" s="55"/>
      <c r="F11" s="56"/>
      <c r="G11" s="57"/>
      <c r="H11" s="57"/>
      <c r="I11" s="57"/>
      <c r="J11" s="57"/>
      <c r="K11" s="57"/>
      <c r="L11" s="57"/>
      <c r="M11" s="58"/>
    </row>
    <row r="12" spans="2:13" ht="9.75" customHeight="1">
      <c r="B12" s="59"/>
    </row>
  </sheetData>
  <mergeCells count="4">
    <mergeCell ref="B4:B9"/>
    <mergeCell ref="B3:C3"/>
    <mergeCell ref="B11:C11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K19" sqref="K19"/>
    </sheetView>
  </sheetViews>
  <sheetFormatPr defaultRowHeight="13.5"/>
  <cols>
    <col min="1" max="1" width="16.75" style="277" customWidth="1"/>
    <col min="2" max="2" width="9" style="277"/>
    <col min="3" max="3" width="9" style="278"/>
    <col min="4" max="252" width="9" style="277"/>
    <col min="253" max="253" width="14.125" style="277" customWidth="1"/>
    <col min="254" max="508" width="9" style="277"/>
    <col min="509" max="509" width="14.125" style="277" customWidth="1"/>
    <col min="510" max="764" width="9" style="277"/>
    <col min="765" max="765" width="14.125" style="277" customWidth="1"/>
    <col min="766" max="1020" width="9" style="277"/>
    <col min="1021" max="1021" width="14.125" style="277" customWidth="1"/>
    <col min="1022" max="1276" width="9" style="277"/>
    <col min="1277" max="1277" width="14.125" style="277" customWidth="1"/>
    <col min="1278" max="1532" width="9" style="277"/>
    <col min="1533" max="1533" width="14.125" style="277" customWidth="1"/>
    <col min="1534" max="1788" width="9" style="277"/>
    <col min="1789" max="1789" width="14.125" style="277" customWidth="1"/>
    <col min="1790" max="2044" width="9" style="277"/>
    <col min="2045" max="2045" width="14.125" style="277" customWidth="1"/>
    <col min="2046" max="2300" width="9" style="277"/>
    <col min="2301" max="2301" width="14.125" style="277" customWidth="1"/>
    <col min="2302" max="2556" width="9" style="277"/>
    <col min="2557" max="2557" width="14.125" style="277" customWidth="1"/>
    <col min="2558" max="2812" width="9" style="277"/>
    <col min="2813" max="2813" width="14.125" style="277" customWidth="1"/>
    <col min="2814" max="3068" width="9" style="277"/>
    <col min="3069" max="3069" width="14.125" style="277" customWidth="1"/>
    <col min="3070" max="3324" width="9" style="277"/>
    <col min="3325" max="3325" width="14.125" style="277" customWidth="1"/>
    <col min="3326" max="3580" width="9" style="277"/>
    <col min="3581" max="3581" width="14.125" style="277" customWidth="1"/>
    <col min="3582" max="3836" width="9" style="277"/>
    <col min="3837" max="3837" width="14.125" style="277" customWidth="1"/>
    <col min="3838" max="4092" width="9" style="277"/>
    <col min="4093" max="4093" width="14.125" style="277" customWidth="1"/>
    <col min="4094" max="4348" width="9" style="277"/>
    <col min="4349" max="4349" width="14.125" style="277" customWidth="1"/>
    <col min="4350" max="4604" width="9" style="277"/>
    <col min="4605" max="4605" width="14.125" style="277" customWidth="1"/>
    <col min="4606" max="4860" width="9" style="277"/>
    <col min="4861" max="4861" width="14.125" style="277" customWidth="1"/>
    <col min="4862" max="5116" width="9" style="277"/>
    <col min="5117" max="5117" width="14.125" style="277" customWidth="1"/>
    <col min="5118" max="5372" width="9" style="277"/>
    <col min="5373" max="5373" width="14.125" style="277" customWidth="1"/>
    <col min="5374" max="5628" width="9" style="277"/>
    <col min="5629" max="5629" width="14.125" style="277" customWidth="1"/>
    <col min="5630" max="5884" width="9" style="277"/>
    <col min="5885" max="5885" width="14.125" style="277" customWidth="1"/>
    <col min="5886" max="6140" width="9" style="277"/>
    <col min="6141" max="6141" width="14.125" style="277" customWidth="1"/>
    <col min="6142" max="6396" width="9" style="277"/>
    <col min="6397" max="6397" width="14.125" style="277" customWidth="1"/>
    <col min="6398" max="6652" width="9" style="277"/>
    <col min="6653" max="6653" width="14.125" style="277" customWidth="1"/>
    <col min="6654" max="6908" width="9" style="277"/>
    <col min="6909" max="6909" width="14.125" style="277" customWidth="1"/>
    <col min="6910" max="7164" width="9" style="277"/>
    <col min="7165" max="7165" width="14.125" style="277" customWidth="1"/>
    <col min="7166" max="7420" width="9" style="277"/>
    <col min="7421" max="7421" width="14.125" style="277" customWidth="1"/>
    <col min="7422" max="7676" width="9" style="277"/>
    <col min="7677" max="7677" width="14.125" style="277" customWidth="1"/>
    <col min="7678" max="7932" width="9" style="277"/>
    <col min="7933" max="7933" width="14.125" style="277" customWidth="1"/>
    <col min="7934" max="8188" width="9" style="277"/>
    <col min="8189" max="8189" width="14.125" style="277" customWidth="1"/>
    <col min="8190" max="8444" width="9" style="277"/>
    <col min="8445" max="8445" width="14.125" style="277" customWidth="1"/>
    <col min="8446" max="8700" width="9" style="277"/>
    <col min="8701" max="8701" width="14.125" style="277" customWidth="1"/>
    <col min="8702" max="8956" width="9" style="277"/>
    <col min="8957" max="8957" width="14.125" style="277" customWidth="1"/>
    <col min="8958" max="9212" width="9" style="277"/>
    <col min="9213" max="9213" width="14.125" style="277" customWidth="1"/>
    <col min="9214" max="9468" width="9" style="277"/>
    <col min="9469" max="9469" width="14.125" style="277" customWidth="1"/>
    <col min="9470" max="9724" width="9" style="277"/>
    <col min="9725" max="9725" width="14.125" style="277" customWidth="1"/>
    <col min="9726" max="9980" width="9" style="277"/>
    <col min="9981" max="9981" width="14.125" style="277" customWidth="1"/>
    <col min="9982" max="10236" width="9" style="277"/>
    <col min="10237" max="10237" width="14.125" style="277" customWidth="1"/>
    <col min="10238" max="10492" width="9" style="277"/>
    <col min="10493" max="10493" width="14.125" style="277" customWidth="1"/>
    <col min="10494" max="10748" width="9" style="277"/>
    <col min="10749" max="10749" width="14.125" style="277" customWidth="1"/>
    <col min="10750" max="11004" width="9" style="277"/>
    <col min="11005" max="11005" width="14.125" style="277" customWidth="1"/>
    <col min="11006" max="11260" width="9" style="277"/>
    <col min="11261" max="11261" width="14.125" style="277" customWidth="1"/>
    <col min="11262" max="11516" width="9" style="277"/>
    <col min="11517" max="11517" width="14.125" style="277" customWidth="1"/>
    <col min="11518" max="11772" width="9" style="277"/>
    <col min="11773" max="11773" width="14.125" style="277" customWidth="1"/>
    <col min="11774" max="12028" width="9" style="277"/>
    <col min="12029" max="12029" width="14.125" style="277" customWidth="1"/>
    <col min="12030" max="12284" width="9" style="277"/>
    <col min="12285" max="12285" width="14.125" style="277" customWidth="1"/>
    <col min="12286" max="12540" width="9" style="277"/>
    <col min="12541" max="12541" width="14.125" style="277" customWidth="1"/>
    <col min="12542" max="12796" width="9" style="277"/>
    <col min="12797" max="12797" width="14.125" style="277" customWidth="1"/>
    <col min="12798" max="13052" width="9" style="277"/>
    <col min="13053" max="13053" width="14.125" style="277" customWidth="1"/>
    <col min="13054" max="13308" width="9" style="277"/>
    <col min="13309" max="13309" width="14.125" style="277" customWidth="1"/>
    <col min="13310" max="13564" width="9" style="277"/>
    <col min="13565" max="13565" width="14.125" style="277" customWidth="1"/>
    <col min="13566" max="13820" width="9" style="277"/>
    <col min="13821" max="13821" width="14.125" style="277" customWidth="1"/>
    <col min="13822" max="14076" width="9" style="277"/>
    <col min="14077" max="14077" width="14.125" style="277" customWidth="1"/>
    <col min="14078" max="14332" width="9" style="277"/>
    <col min="14333" max="14333" width="14.125" style="277" customWidth="1"/>
    <col min="14334" max="14588" width="9" style="277"/>
    <col min="14589" max="14589" width="14.125" style="277" customWidth="1"/>
    <col min="14590" max="14844" width="9" style="277"/>
    <col min="14845" max="14845" width="14.125" style="277" customWidth="1"/>
    <col min="14846" max="15100" width="9" style="277"/>
    <col min="15101" max="15101" width="14.125" style="277" customWidth="1"/>
    <col min="15102" max="15356" width="9" style="277"/>
    <col min="15357" max="15357" width="14.125" style="277" customWidth="1"/>
    <col min="15358" max="15612" width="9" style="277"/>
    <col min="15613" max="15613" width="14.125" style="277" customWidth="1"/>
    <col min="15614" max="15868" width="9" style="277"/>
    <col min="15869" max="15869" width="14.125" style="277" customWidth="1"/>
    <col min="15870" max="16124" width="9" style="277"/>
    <col min="16125" max="16125" width="14.125" style="277" customWidth="1"/>
    <col min="16126" max="16384" width="9" style="277"/>
  </cols>
  <sheetData>
    <row r="1" spans="1:8" ht="14.25" thickBot="1"/>
    <row r="2" spans="1:8">
      <c r="A2" s="279" t="s">
        <v>217</v>
      </c>
      <c r="B2" s="280" t="s">
        <v>7</v>
      </c>
      <c r="C2" s="281" t="s">
        <v>218</v>
      </c>
      <c r="D2" s="872" t="s">
        <v>219</v>
      </c>
      <c r="E2" s="873"/>
      <c r="F2" s="874"/>
      <c r="G2" s="280" t="s">
        <v>220</v>
      </c>
      <c r="H2" s="282" t="s">
        <v>24</v>
      </c>
    </row>
    <row r="3" spans="1:8">
      <c r="A3" s="284" t="s">
        <v>221</v>
      </c>
      <c r="B3" s="283" t="s">
        <v>222</v>
      </c>
      <c r="C3" s="285">
        <v>2000</v>
      </c>
      <c r="D3" s="284"/>
      <c r="E3" s="286"/>
      <c r="F3" s="287"/>
      <c r="G3" s="286">
        <v>5</v>
      </c>
      <c r="H3" s="288">
        <f t="shared" ref="H3:H10" si="0">+C3*G3</f>
        <v>10000</v>
      </c>
    </row>
    <row r="4" spans="1:8">
      <c r="A4" s="284" t="s">
        <v>386</v>
      </c>
      <c r="B4" s="283" t="s">
        <v>223</v>
      </c>
      <c r="C4" s="289">
        <v>40</v>
      </c>
      <c r="D4" s="284">
        <v>8</v>
      </c>
      <c r="E4" s="286">
        <v>7</v>
      </c>
      <c r="F4" s="287">
        <v>7</v>
      </c>
      <c r="G4" s="286">
        <f>63300/400</f>
        <v>158.25</v>
      </c>
      <c r="H4" s="288">
        <f t="shared" si="0"/>
        <v>6330</v>
      </c>
    </row>
    <row r="5" spans="1:8">
      <c r="A5" s="284" t="s">
        <v>387</v>
      </c>
      <c r="B5" s="283" t="s">
        <v>223</v>
      </c>
      <c r="C5" s="289">
        <v>50</v>
      </c>
      <c r="D5" s="284"/>
      <c r="E5" s="286"/>
      <c r="F5" s="287"/>
      <c r="G5" s="286">
        <f>50760/400</f>
        <v>126.9</v>
      </c>
      <c r="H5" s="288">
        <f t="shared" si="0"/>
        <v>6345</v>
      </c>
    </row>
    <row r="6" spans="1:8">
      <c r="A6" s="284" t="s">
        <v>388</v>
      </c>
      <c r="B6" s="283" t="s">
        <v>223</v>
      </c>
      <c r="C6" s="289">
        <v>30</v>
      </c>
      <c r="D6" s="284"/>
      <c r="E6" s="286"/>
      <c r="F6" s="287"/>
      <c r="G6" s="286">
        <f>38400/400</f>
        <v>96</v>
      </c>
      <c r="H6" s="288">
        <f t="shared" si="0"/>
        <v>2880</v>
      </c>
    </row>
    <row r="7" spans="1:8">
      <c r="A7" s="284" t="s">
        <v>389</v>
      </c>
      <c r="B7" s="283" t="s">
        <v>223</v>
      </c>
      <c r="C7" s="289">
        <v>25</v>
      </c>
      <c r="D7" s="284">
        <v>9</v>
      </c>
      <c r="E7" s="286">
        <v>12</v>
      </c>
      <c r="F7" s="287">
        <v>10</v>
      </c>
      <c r="G7" s="286">
        <f>39640/400</f>
        <v>99.1</v>
      </c>
      <c r="H7" s="288">
        <f t="shared" si="0"/>
        <v>2477.5</v>
      </c>
    </row>
    <row r="8" spans="1:8">
      <c r="A8" s="290" t="s">
        <v>390</v>
      </c>
      <c r="B8" s="283" t="s">
        <v>223</v>
      </c>
      <c r="C8" s="289">
        <v>60</v>
      </c>
      <c r="D8" s="290"/>
      <c r="E8" s="291"/>
      <c r="F8" s="292"/>
      <c r="G8" s="291">
        <f>46200/400</f>
        <v>115.5</v>
      </c>
      <c r="H8" s="288">
        <f t="shared" si="0"/>
        <v>6930</v>
      </c>
    </row>
    <row r="9" spans="1:8">
      <c r="A9" s="293" t="s">
        <v>391</v>
      </c>
      <c r="B9" s="283" t="s">
        <v>223</v>
      </c>
      <c r="C9" s="295">
        <v>15</v>
      </c>
      <c r="D9" s="293"/>
      <c r="E9" s="296"/>
      <c r="F9" s="297"/>
      <c r="G9" s="291">
        <f>64200/400</f>
        <v>160.5</v>
      </c>
      <c r="H9" s="288">
        <f t="shared" si="0"/>
        <v>2407.5</v>
      </c>
    </row>
    <row r="10" spans="1:8">
      <c r="A10" s="293" t="s">
        <v>394</v>
      </c>
      <c r="B10" s="294" t="s">
        <v>395</v>
      </c>
      <c r="C10" s="295">
        <v>40</v>
      </c>
      <c r="D10" s="293"/>
      <c r="E10" s="296"/>
      <c r="F10" s="297"/>
      <c r="G10" s="291">
        <f>691/20</f>
        <v>34.549999999999997</v>
      </c>
      <c r="H10" s="288">
        <f t="shared" si="0"/>
        <v>1382</v>
      </c>
    </row>
    <row r="11" spans="1:8" ht="14.25" thickBot="1">
      <c r="A11" s="293" t="s">
        <v>250</v>
      </c>
      <c r="B11" s="294" t="s">
        <v>392</v>
      </c>
      <c r="C11" s="378" t="s">
        <v>393</v>
      </c>
      <c r="D11" s="293" t="s">
        <v>393</v>
      </c>
      <c r="E11" s="296"/>
      <c r="F11" s="297" t="s">
        <v>393</v>
      </c>
      <c r="G11" s="296"/>
      <c r="H11" s="288"/>
    </row>
    <row r="12" spans="1:8" ht="14.25" thickBot="1">
      <c r="A12" s="298" t="s">
        <v>22</v>
      </c>
      <c r="B12" s="299"/>
      <c r="C12" s="300"/>
      <c r="D12" s="298"/>
      <c r="E12" s="299"/>
      <c r="F12" s="301"/>
      <c r="G12" s="299"/>
      <c r="H12" s="302">
        <f>SUM(H3:H11)</f>
        <v>38752</v>
      </c>
    </row>
  </sheetData>
  <mergeCells count="1">
    <mergeCell ref="D2:F2"/>
  </mergeCells>
  <phoneticPr fontId="4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="60" zoomScaleNormal="100" workbookViewId="0">
      <selection activeCell="P28" sqref="P28"/>
    </sheetView>
  </sheetViews>
  <sheetFormatPr defaultRowHeight="13.5"/>
  <cols>
    <col min="1" max="1" width="9" style="277"/>
    <col min="2" max="2" width="24.25" style="277" customWidth="1"/>
    <col min="3" max="257" width="9" style="277"/>
    <col min="258" max="258" width="24.25" style="277" customWidth="1"/>
    <col min="259" max="513" width="9" style="277"/>
    <col min="514" max="514" width="24.25" style="277" customWidth="1"/>
    <col min="515" max="769" width="9" style="277"/>
    <col min="770" max="770" width="24.25" style="277" customWidth="1"/>
    <col min="771" max="1025" width="9" style="277"/>
    <col min="1026" max="1026" width="24.25" style="277" customWidth="1"/>
    <col min="1027" max="1281" width="9" style="277"/>
    <col min="1282" max="1282" width="24.25" style="277" customWidth="1"/>
    <col min="1283" max="1537" width="9" style="277"/>
    <col min="1538" max="1538" width="24.25" style="277" customWidth="1"/>
    <col min="1539" max="1793" width="9" style="277"/>
    <col min="1794" max="1794" width="24.25" style="277" customWidth="1"/>
    <col min="1795" max="2049" width="9" style="277"/>
    <col min="2050" max="2050" width="24.25" style="277" customWidth="1"/>
    <col min="2051" max="2305" width="9" style="277"/>
    <col min="2306" max="2306" width="24.25" style="277" customWidth="1"/>
    <col min="2307" max="2561" width="9" style="277"/>
    <col min="2562" max="2562" width="24.25" style="277" customWidth="1"/>
    <col min="2563" max="2817" width="9" style="277"/>
    <col min="2818" max="2818" width="24.25" style="277" customWidth="1"/>
    <col min="2819" max="3073" width="9" style="277"/>
    <col min="3074" max="3074" width="24.25" style="277" customWidth="1"/>
    <col min="3075" max="3329" width="9" style="277"/>
    <col min="3330" max="3330" width="24.25" style="277" customWidth="1"/>
    <col min="3331" max="3585" width="9" style="277"/>
    <col min="3586" max="3586" width="24.25" style="277" customWidth="1"/>
    <col min="3587" max="3841" width="9" style="277"/>
    <col min="3842" max="3842" width="24.25" style="277" customWidth="1"/>
    <col min="3843" max="4097" width="9" style="277"/>
    <col min="4098" max="4098" width="24.25" style="277" customWidth="1"/>
    <col min="4099" max="4353" width="9" style="277"/>
    <col min="4354" max="4354" width="24.25" style="277" customWidth="1"/>
    <col min="4355" max="4609" width="9" style="277"/>
    <col min="4610" max="4610" width="24.25" style="277" customWidth="1"/>
    <col min="4611" max="4865" width="9" style="277"/>
    <col min="4866" max="4866" width="24.25" style="277" customWidth="1"/>
    <col min="4867" max="5121" width="9" style="277"/>
    <col min="5122" max="5122" width="24.25" style="277" customWidth="1"/>
    <col min="5123" max="5377" width="9" style="277"/>
    <col min="5378" max="5378" width="24.25" style="277" customWidth="1"/>
    <col min="5379" max="5633" width="9" style="277"/>
    <col min="5634" max="5634" width="24.25" style="277" customWidth="1"/>
    <col min="5635" max="5889" width="9" style="277"/>
    <col min="5890" max="5890" width="24.25" style="277" customWidth="1"/>
    <col min="5891" max="6145" width="9" style="277"/>
    <col min="6146" max="6146" width="24.25" style="277" customWidth="1"/>
    <col min="6147" max="6401" width="9" style="277"/>
    <col min="6402" max="6402" width="24.25" style="277" customWidth="1"/>
    <col min="6403" max="6657" width="9" style="277"/>
    <col min="6658" max="6658" width="24.25" style="277" customWidth="1"/>
    <col min="6659" max="6913" width="9" style="277"/>
    <col min="6914" max="6914" width="24.25" style="277" customWidth="1"/>
    <col min="6915" max="7169" width="9" style="277"/>
    <col min="7170" max="7170" width="24.25" style="277" customWidth="1"/>
    <col min="7171" max="7425" width="9" style="277"/>
    <col min="7426" max="7426" width="24.25" style="277" customWidth="1"/>
    <col min="7427" max="7681" width="9" style="277"/>
    <col min="7682" max="7682" width="24.25" style="277" customWidth="1"/>
    <col min="7683" max="7937" width="9" style="277"/>
    <col min="7938" max="7938" width="24.25" style="277" customWidth="1"/>
    <col min="7939" max="8193" width="9" style="277"/>
    <col min="8194" max="8194" width="24.25" style="277" customWidth="1"/>
    <col min="8195" max="8449" width="9" style="277"/>
    <col min="8450" max="8450" width="24.25" style="277" customWidth="1"/>
    <col min="8451" max="8705" width="9" style="277"/>
    <col min="8706" max="8706" width="24.25" style="277" customWidth="1"/>
    <col min="8707" max="8961" width="9" style="277"/>
    <col min="8962" max="8962" width="24.25" style="277" customWidth="1"/>
    <col min="8963" max="9217" width="9" style="277"/>
    <col min="9218" max="9218" width="24.25" style="277" customWidth="1"/>
    <col min="9219" max="9473" width="9" style="277"/>
    <col min="9474" max="9474" width="24.25" style="277" customWidth="1"/>
    <col min="9475" max="9729" width="9" style="277"/>
    <col min="9730" max="9730" width="24.25" style="277" customWidth="1"/>
    <col min="9731" max="9985" width="9" style="277"/>
    <col min="9986" max="9986" width="24.25" style="277" customWidth="1"/>
    <col min="9987" max="10241" width="9" style="277"/>
    <col min="10242" max="10242" width="24.25" style="277" customWidth="1"/>
    <col min="10243" max="10497" width="9" style="277"/>
    <col min="10498" max="10498" width="24.25" style="277" customWidth="1"/>
    <col min="10499" max="10753" width="9" style="277"/>
    <col min="10754" max="10754" width="24.25" style="277" customWidth="1"/>
    <col min="10755" max="11009" width="9" style="277"/>
    <col min="11010" max="11010" width="24.25" style="277" customWidth="1"/>
    <col min="11011" max="11265" width="9" style="277"/>
    <col min="11266" max="11266" width="24.25" style="277" customWidth="1"/>
    <col min="11267" max="11521" width="9" style="277"/>
    <col min="11522" max="11522" width="24.25" style="277" customWidth="1"/>
    <col min="11523" max="11777" width="9" style="277"/>
    <col min="11778" max="11778" width="24.25" style="277" customWidth="1"/>
    <col min="11779" max="12033" width="9" style="277"/>
    <col min="12034" max="12034" width="24.25" style="277" customWidth="1"/>
    <col min="12035" max="12289" width="9" style="277"/>
    <col min="12290" max="12290" width="24.25" style="277" customWidth="1"/>
    <col min="12291" max="12545" width="9" style="277"/>
    <col min="12546" max="12546" width="24.25" style="277" customWidth="1"/>
    <col min="12547" max="12801" width="9" style="277"/>
    <col min="12802" max="12802" width="24.25" style="277" customWidth="1"/>
    <col min="12803" max="13057" width="9" style="277"/>
    <col min="13058" max="13058" width="24.25" style="277" customWidth="1"/>
    <col min="13059" max="13313" width="9" style="277"/>
    <col min="13314" max="13314" width="24.25" style="277" customWidth="1"/>
    <col min="13315" max="13569" width="9" style="277"/>
    <col min="13570" max="13570" width="24.25" style="277" customWidth="1"/>
    <col min="13571" max="13825" width="9" style="277"/>
    <col min="13826" max="13826" width="24.25" style="277" customWidth="1"/>
    <col min="13827" max="14081" width="9" style="277"/>
    <col min="14082" max="14082" width="24.25" style="277" customWidth="1"/>
    <col min="14083" max="14337" width="9" style="277"/>
    <col min="14338" max="14338" width="24.25" style="277" customWidth="1"/>
    <col min="14339" max="14593" width="9" style="277"/>
    <col min="14594" max="14594" width="24.25" style="277" customWidth="1"/>
    <col min="14595" max="14849" width="9" style="277"/>
    <col min="14850" max="14850" width="24.25" style="277" customWidth="1"/>
    <col min="14851" max="15105" width="9" style="277"/>
    <col min="15106" max="15106" width="24.25" style="277" customWidth="1"/>
    <col min="15107" max="15361" width="9" style="277"/>
    <col min="15362" max="15362" width="24.25" style="277" customWidth="1"/>
    <col min="15363" max="15617" width="9" style="277"/>
    <col min="15618" max="15618" width="24.25" style="277" customWidth="1"/>
    <col min="15619" max="15873" width="9" style="277"/>
    <col min="15874" max="15874" width="24.25" style="277" customWidth="1"/>
    <col min="15875" max="16129" width="9" style="277"/>
    <col min="16130" max="16130" width="24.25" style="277" customWidth="1"/>
    <col min="16131" max="16384" width="9" style="277"/>
  </cols>
  <sheetData>
    <row r="1" spans="1:10" ht="14.25" thickBot="1"/>
    <row r="2" spans="1:10" ht="14.25" thickBot="1">
      <c r="A2" s="303"/>
      <c r="B2" s="304" t="s">
        <v>104</v>
      </c>
      <c r="C2" s="305" t="s">
        <v>224</v>
      </c>
      <c r="D2" s="305" t="s">
        <v>225</v>
      </c>
      <c r="E2" s="305" t="s">
        <v>226</v>
      </c>
      <c r="F2" s="305" t="s">
        <v>227</v>
      </c>
      <c r="G2" s="304" t="s">
        <v>105</v>
      </c>
      <c r="H2" s="306" t="s">
        <v>106</v>
      </c>
      <c r="I2" s="307" t="s">
        <v>107</v>
      </c>
    </row>
    <row r="3" spans="1:10">
      <c r="A3" s="308" t="s">
        <v>228</v>
      </c>
      <c r="B3" s="337" t="s">
        <v>241</v>
      </c>
      <c r="C3" s="309">
        <v>1000</v>
      </c>
      <c r="D3" s="337">
        <v>300</v>
      </c>
      <c r="E3" s="309">
        <v>500</v>
      </c>
      <c r="F3" s="309">
        <v>2324</v>
      </c>
      <c r="G3" s="331">
        <f>+D3/C3*1000</f>
        <v>300</v>
      </c>
      <c r="H3" s="309" t="s">
        <v>229</v>
      </c>
      <c r="I3" s="310">
        <f>+F3/E3*G3</f>
        <v>1394.3999999999999</v>
      </c>
      <c r="J3" s="277">
        <v>1</v>
      </c>
    </row>
    <row r="4" spans="1:10">
      <c r="A4" s="308" t="s">
        <v>230</v>
      </c>
      <c r="B4" s="337" t="s">
        <v>242</v>
      </c>
      <c r="C4" s="309">
        <v>600</v>
      </c>
      <c r="D4" s="309">
        <v>300</v>
      </c>
      <c r="E4" s="309">
        <v>500</v>
      </c>
      <c r="F4" s="309">
        <v>679</v>
      </c>
      <c r="G4" s="331">
        <f t="shared" ref="G4:G17" si="0">+D4/C4*1000</f>
        <v>500</v>
      </c>
      <c r="H4" s="309" t="s">
        <v>229</v>
      </c>
      <c r="I4" s="310">
        <f t="shared" ref="I4:I17" si="1">+F4/E4*G4</f>
        <v>679</v>
      </c>
      <c r="J4" s="277">
        <v>2</v>
      </c>
    </row>
    <row r="5" spans="1:10">
      <c r="A5" s="308" t="s">
        <v>231</v>
      </c>
      <c r="B5" s="337" t="s">
        <v>243</v>
      </c>
      <c r="C5" s="309">
        <v>3000</v>
      </c>
      <c r="D5" s="309">
        <v>500</v>
      </c>
      <c r="E5" s="311">
        <v>500</v>
      </c>
      <c r="F5" s="311">
        <v>6167</v>
      </c>
      <c r="G5" s="332">
        <f t="shared" si="0"/>
        <v>166.66666666666666</v>
      </c>
      <c r="H5" s="309" t="s">
        <v>229</v>
      </c>
      <c r="I5" s="310">
        <f t="shared" si="1"/>
        <v>2055.6666666666665</v>
      </c>
      <c r="J5" s="277">
        <v>3</v>
      </c>
    </row>
    <row r="6" spans="1:10">
      <c r="A6" s="308"/>
      <c r="B6" s="337" t="s">
        <v>245</v>
      </c>
      <c r="C6" s="309">
        <v>500</v>
      </c>
      <c r="D6" s="309">
        <v>500</v>
      </c>
      <c r="E6" s="309">
        <v>2000</v>
      </c>
      <c r="F6" s="309">
        <v>2565</v>
      </c>
      <c r="G6" s="331">
        <f t="shared" si="0"/>
        <v>1000</v>
      </c>
      <c r="H6" s="309" t="s">
        <v>229</v>
      </c>
      <c r="I6" s="310">
        <f t="shared" si="1"/>
        <v>1282.5</v>
      </c>
      <c r="J6" s="277">
        <v>4</v>
      </c>
    </row>
    <row r="7" spans="1:10">
      <c r="A7" s="308"/>
      <c r="B7" s="337" t="s">
        <v>246</v>
      </c>
      <c r="C7" s="309">
        <v>1000</v>
      </c>
      <c r="D7" s="309">
        <v>500</v>
      </c>
      <c r="E7" s="309">
        <v>500</v>
      </c>
      <c r="F7" s="309">
        <v>4368</v>
      </c>
      <c r="G7" s="331">
        <f t="shared" si="0"/>
        <v>500</v>
      </c>
      <c r="H7" s="309" t="s">
        <v>229</v>
      </c>
      <c r="I7" s="310">
        <f t="shared" si="1"/>
        <v>4368</v>
      </c>
      <c r="J7" s="277">
        <v>5</v>
      </c>
    </row>
    <row r="8" spans="1:10">
      <c r="A8" s="308"/>
      <c r="B8" s="337" t="s">
        <v>247</v>
      </c>
      <c r="C8" s="309">
        <v>3000</v>
      </c>
      <c r="D8" s="309">
        <v>500</v>
      </c>
      <c r="E8" s="309">
        <v>500</v>
      </c>
      <c r="F8" s="309">
        <v>2080</v>
      </c>
      <c r="G8" s="331">
        <f t="shared" si="0"/>
        <v>166.66666666666666</v>
      </c>
      <c r="H8" s="309" t="s">
        <v>229</v>
      </c>
      <c r="I8" s="310">
        <f t="shared" si="1"/>
        <v>693.33333333333337</v>
      </c>
      <c r="J8" s="277">
        <v>6</v>
      </c>
    </row>
    <row r="9" spans="1:10">
      <c r="A9" s="308"/>
      <c r="B9" s="337" t="s">
        <v>248</v>
      </c>
      <c r="C9" s="309">
        <v>1500</v>
      </c>
      <c r="D9" s="309">
        <v>500</v>
      </c>
      <c r="E9" s="309">
        <v>500</v>
      </c>
      <c r="F9" s="309">
        <v>2366</v>
      </c>
      <c r="G9" s="331">
        <f t="shared" si="0"/>
        <v>333.33333333333331</v>
      </c>
      <c r="H9" s="309" t="s">
        <v>229</v>
      </c>
      <c r="I9" s="310">
        <f t="shared" si="1"/>
        <v>1577.3333333333333</v>
      </c>
      <c r="J9" s="277">
        <v>7</v>
      </c>
    </row>
    <row r="10" spans="1:10">
      <c r="A10" s="308"/>
      <c r="B10" s="337" t="s">
        <v>249</v>
      </c>
      <c r="C10" s="309">
        <v>800</v>
      </c>
      <c r="D10" s="309">
        <v>500</v>
      </c>
      <c r="E10" s="309">
        <v>500</v>
      </c>
      <c r="F10" s="309">
        <v>1678</v>
      </c>
      <c r="G10" s="331">
        <f t="shared" si="0"/>
        <v>625</v>
      </c>
      <c r="H10" s="309" t="s">
        <v>229</v>
      </c>
      <c r="I10" s="310">
        <f t="shared" si="1"/>
        <v>2097.5</v>
      </c>
      <c r="J10" s="277">
        <v>8</v>
      </c>
    </row>
    <row r="11" spans="1:10">
      <c r="A11" s="308"/>
      <c r="B11" s="340" t="s">
        <v>254</v>
      </c>
      <c r="C11" s="311">
        <v>4000</v>
      </c>
      <c r="D11" s="311">
        <v>500</v>
      </c>
      <c r="E11" s="311">
        <v>250</v>
      </c>
      <c r="F11" s="311">
        <v>3168</v>
      </c>
      <c r="G11" s="338">
        <f t="shared" si="0"/>
        <v>125</v>
      </c>
      <c r="H11" s="311" t="s">
        <v>229</v>
      </c>
      <c r="I11" s="339">
        <f t="shared" si="1"/>
        <v>1584</v>
      </c>
      <c r="J11" s="277">
        <v>9</v>
      </c>
    </row>
    <row r="12" spans="1:10">
      <c r="A12" s="308"/>
      <c r="B12" s="341" t="s">
        <v>248</v>
      </c>
      <c r="C12" s="342">
        <v>1500</v>
      </c>
      <c r="D12" s="342">
        <v>500</v>
      </c>
      <c r="E12" s="342">
        <v>500</v>
      </c>
      <c r="F12" s="342">
        <v>2366</v>
      </c>
      <c r="G12" s="343">
        <f t="shared" si="0"/>
        <v>333.33333333333331</v>
      </c>
      <c r="H12" s="342" t="s">
        <v>229</v>
      </c>
      <c r="I12" s="342">
        <f t="shared" si="1"/>
        <v>1577.3333333333333</v>
      </c>
      <c r="J12" s="277">
        <v>10</v>
      </c>
    </row>
    <row r="13" spans="1:10">
      <c r="A13" s="308"/>
      <c r="B13" s="341" t="s">
        <v>255</v>
      </c>
      <c r="C13" s="342">
        <v>1000</v>
      </c>
      <c r="D13" s="342">
        <v>500</v>
      </c>
      <c r="E13" s="342">
        <v>500</v>
      </c>
      <c r="F13" s="342">
        <v>1832</v>
      </c>
      <c r="G13" s="343">
        <f t="shared" si="0"/>
        <v>500</v>
      </c>
      <c r="H13" s="342" t="s">
        <v>229</v>
      </c>
      <c r="I13" s="342">
        <f t="shared" si="1"/>
        <v>1832</v>
      </c>
      <c r="J13" s="277">
        <v>11</v>
      </c>
    </row>
    <row r="14" spans="1:10">
      <c r="A14" s="308"/>
      <c r="B14" s="341" t="s">
        <v>256</v>
      </c>
      <c r="C14" s="342">
        <v>600</v>
      </c>
      <c r="D14" s="342">
        <v>500</v>
      </c>
      <c r="E14" s="342">
        <v>500</v>
      </c>
      <c r="F14" s="342">
        <v>2433</v>
      </c>
      <c r="G14" s="343">
        <f t="shared" si="0"/>
        <v>833.33333333333337</v>
      </c>
      <c r="H14" s="342" t="s">
        <v>229</v>
      </c>
      <c r="I14" s="342">
        <f t="shared" si="1"/>
        <v>4055</v>
      </c>
      <c r="J14" s="277">
        <v>12</v>
      </c>
    </row>
    <row r="15" spans="1:10">
      <c r="A15" s="308"/>
      <c r="B15" s="341" t="s">
        <v>257</v>
      </c>
      <c r="C15" s="342">
        <v>1000</v>
      </c>
      <c r="D15" s="342">
        <v>500</v>
      </c>
      <c r="E15" s="342">
        <v>500</v>
      </c>
      <c r="F15" s="342">
        <v>3940</v>
      </c>
      <c r="G15" s="343">
        <f t="shared" si="0"/>
        <v>500</v>
      </c>
      <c r="H15" s="342" t="s">
        <v>229</v>
      </c>
      <c r="I15" s="342">
        <f t="shared" si="1"/>
        <v>3940</v>
      </c>
      <c r="J15" s="277">
        <v>13</v>
      </c>
    </row>
    <row r="16" spans="1:10">
      <c r="A16" s="308"/>
      <c r="B16" s="341" t="s">
        <v>258</v>
      </c>
      <c r="C16" s="342">
        <v>1500</v>
      </c>
      <c r="D16" s="342">
        <v>500</v>
      </c>
      <c r="E16" s="342">
        <v>500</v>
      </c>
      <c r="F16" s="342">
        <v>3798</v>
      </c>
      <c r="G16" s="343">
        <f t="shared" si="0"/>
        <v>333.33333333333331</v>
      </c>
      <c r="H16" s="342" t="s">
        <v>229</v>
      </c>
      <c r="I16" s="342">
        <f t="shared" si="1"/>
        <v>2532</v>
      </c>
      <c r="J16" s="277">
        <v>14</v>
      </c>
    </row>
    <row r="17" spans="1:10">
      <c r="A17" s="308"/>
      <c r="B17" s="341" t="s">
        <v>258</v>
      </c>
      <c r="C17" s="342">
        <v>1500</v>
      </c>
      <c r="D17" s="342">
        <v>500</v>
      </c>
      <c r="E17" s="342">
        <v>500</v>
      </c>
      <c r="F17" s="342">
        <v>3798</v>
      </c>
      <c r="G17" s="343">
        <f t="shared" si="0"/>
        <v>333.33333333333331</v>
      </c>
      <c r="H17" s="342" t="s">
        <v>229</v>
      </c>
      <c r="I17" s="342">
        <f t="shared" si="1"/>
        <v>2532</v>
      </c>
      <c r="J17" s="277">
        <v>15</v>
      </c>
    </row>
    <row r="18" spans="1:10">
      <c r="A18" s="308"/>
      <c r="B18" s="340"/>
      <c r="C18" s="311"/>
      <c r="D18" s="311"/>
      <c r="E18" s="311"/>
      <c r="F18" s="311"/>
      <c r="G18" s="331"/>
      <c r="H18" s="309"/>
      <c r="I18" s="310"/>
    </row>
    <row r="19" spans="1:10">
      <c r="A19" s="308"/>
      <c r="B19" s="340"/>
      <c r="C19" s="311"/>
      <c r="D19" s="311"/>
      <c r="E19" s="311"/>
      <c r="F19" s="311"/>
      <c r="G19" s="331"/>
      <c r="H19" s="309"/>
      <c r="I19" s="310"/>
    </row>
    <row r="20" spans="1:10">
      <c r="A20" s="308"/>
      <c r="B20" s="311"/>
      <c r="C20" s="311"/>
      <c r="D20" s="311"/>
      <c r="E20" s="311"/>
      <c r="F20" s="311"/>
      <c r="G20" s="331"/>
      <c r="H20" s="309"/>
      <c r="I20" s="310"/>
    </row>
    <row r="21" spans="1:10">
      <c r="A21" s="308"/>
      <c r="B21" s="311"/>
      <c r="C21" s="311"/>
      <c r="D21" s="311"/>
      <c r="E21" s="311"/>
      <c r="F21" s="311"/>
      <c r="G21" s="331"/>
      <c r="H21" s="309"/>
      <c r="I21" s="310"/>
    </row>
    <row r="22" spans="1:10" ht="14.25" thickBot="1">
      <c r="A22" s="312"/>
      <c r="B22" s="313" t="s">
        <v>232</v>
      </c>
      <c r="C22" s="313"/>
      <c r="D22" s="313"/>
      <c r="E22" s="313"/>
      <c r="F22" s="313"/>
      <c r="G22" s="314"/>
      <c r="H22" s="314"/>
      <c r="I22" s="315">
        <f>SUM(I3:I17)</f>
        <v>32200.066666666666</v>
      </c>
    </row>
    <row r="23" spans="1:10" ht="14.25" thickTop="1">
      <c r="A23" s="308"/>
      <c r="B23" s="337" t="s">
        <v>261</v>
      </c>
      <c r="C23" s="309">
        <v>50</v>
      </c>
      <c r="D23" s="309">
        <v>200</v>
      </c>
      <c r="E23" s="316">
        <v>20000</v>
      </c>
      <c r="F23" s="316">
        <v>8206</v>
      </c>
      <c r="G23" s="331">
        <f t="shared" ref="G23:G34" si="2">+D23/C23*1000</f>
        <v>4000</v>
      </c>
      <c r="H23" s="309" t="s">
        <v>229</v>
      </c>
      <c r="I23" s="310">
        <f t="shared" ref="I23:I34" si="3">+F23/E23*G23</f>
        <v>1641.2</v>
      </c>
      <c r="J23" s="277">
        <v>1</v>
      </c>
    </row>
    <row r="24" spans="1:10">
      <c r="A24" s="308" t="s">
        <v>228</v>
      </c>
      <c r="B24" s="337" t="s">
        <v>244</v>
      </c>
      <c r="C24" s="309">
        <v>500</v>
      </c>
      <c r="D24" s="309">
        <v>500</v>
      </c>
      <c r="E24" s="309">
        <v>500</v>
      </c>
      <c r="F24" s="309">
        <v>1371</v>
      </c>
      <c r="G24" s="331">
        <f t="shared" si="2"/>
        <v>1000</v>
      </c>
      <c r="H24" s="309" t="s">
        <v>229</v>
      </c>
      <c r="I24" s="310">
        <f t="shared" si="3"/>
        <v>2742</v>
      </c>
      <c r="J24" s="277">
        <v>2</v>
      </c>
    </row>
    <row r="25" spans="1:10">
      <c r="A25" s="308"/>
      <c r="B25" s="344" t="s">
        <v>262</v>
      </c>
      <c r="C25" s="316">
        <v>1000</v>
      </c>
      <c r="D25" s="309">
        <v>500</v>
      </c>
      <c r="E25" s="316">
        <v>500</v>
      </c>
      <c r="F25" s="316">
        <v>1206</v>
      </c>
      <c r="G25" s="333">
        <f t="shared" si="2"/>
        <v>500</v>
      </c>
      <c r="H25" s="316" t="s">
        <v>229</v>
      </c>
      <c r="I25" s="317">
        <f t="shared" si="3"/>
        <v>1206</v>
      </c>
      <c r="J25" s="277">
        <v>3</v>
      </c>
    </row>
    <row r="26" spans="1:10">
      <c r="A26" s="308" t="s">
        <v>233</v>
      </c>
      <c r="B26" s="344" t="s">
        <v>263</v>
      </c>
      <c r="C26" s="316">
        <v>3000</v>
      </c>
      <c r="D26" s="309">
        <v>500</v>
      </c>
      <c r="E26" s="316">
        <v>500</v>
      </c>
      <c r="F26" s="316">
        <v>4277</v>
      </c>
      <c r="G26" s="333">
        <f t="shared" si="2"/>
        <v>166.66666666666666</v>
      </c>
      <c r="H26" s="316" t="s">
        <v>229</v>
      </c>
      <c r="I26" s="317">
        <f t="shared" si="3"/>
        <v>1425.6666666666667</v>
      </c>
      <c r="J26" s="277">
        <v>4</v>
      </c>
    </row>
    <row r="27" spans="1:10">
      <c r="A27" s="308"/>
      <c r="B27" s="344" t="s">
        <v>244</v>
      </c>
      <c r="C27" s="316">
        <v>1000</v>
      </c>
      <c r="D27" s="309">
        <v>500</v>
      </c>
      <c r="E27" s="316">
        <v>500</v>
      </c>
      <c r="F27" s="316">
        <v>1371</v>
      </c>
      <c r="G27" s="333">
        <f t="shared" si="2"/>
        <v>500</v>
      </c>
      <c r="H27" s="316" t="s">
        <v>229</v>
      </c>
      <c r="I27" s="317">
        <f t="shared" si="3"/>
        <v>1371</v>
      </c>
      <c r="J27" s="277">
        <v>5</v>
      </c>
    </row>
    <row r="28" spans="1:10">
      <c r="A28" s="308" t="s">
        <v>231</v>
      </c>
      <c r="B28" s="344" t="s">
        <v>264</v>
      </c>
      <c r="C28" s="316">
        <v>1500</v>
      </c>
      <c r="D28" s="309">
        <v>500</v>
      </c>
      <c r="E28" s="316">
        <v>500</v>
      </c>
      <c r="F28" s="316">
        <v>2167</v>
      </c>
      <c r="G28" s="333">
        <f t="shared" si="2"/>
        <v>333.33333333333331</v>
      </c>
      <c r="H28" s="316" t="s">
        <v>229</v>
      </c>
      <c r="I28" s="317">
        <f t="shared" si="3"/>
        <v>1444.6666666666665</v>
      </c>
      <c r="J28" s="277">
        <v>6</v>
      </c>
    </row>
    <row r="29" spans="1:10">
      <c r="A29" s="308"/>
      <c r="B29" s="344" t="s">
        <v>265</v>
      </c>
      <c r="C29" s="316">
        <v>1000</v>
      </c>
      <c r="D29" s="309">
        <v>500</v>
      </c>
      <c r="E29" s="309">
        <v>1000</v>
      </c>
      <c r="F29" s="309">
        <v>2025</v>
      </c>
      <c r="G29" s="333">
        <f t="shared" si="2"/>
        <v>500</v>
      </c>
      <c r="H29" s="316" t="s">
        <v>229</v>
      </c>
      <c r="I29" s="317">
        <f t="shared" si="3"/>
        <v>1012.5</v>
      </c>
      <c r="J29" s="277">
        <v>7</v>
      </c>
    </row>
    <row r="30" spans="1:10">
      <c r="A30" s="308"/>
      <c r="B30" s="344" t="s">
        <v>265</v>
      </c>
      <c r="C30" s="316">
        <v>1000</v>
      </c>
      <c r="D30" s="309">
        <v>500</v>
      </c>
      <c r="E30" s="309">
        <v>1000</v>
      </c>
      <c r="F30" s="309">
        <v>2025</v>
      </c>
      <c r="G30" s="333">
        <f t="shared" si="2"/>
        <v>500</v>
      </c>
      <c r="H30" s="316" t="s">
        <v>229</v>
      </c>
      <c r="I30" s="317">
        <f t="shared" si="3"/>
        <v>1012.5</v>
      </c>
      <c r="J30" s="277">
        <v>8</v>
      </c>
    </row>
    <row r="31" spans="1:10">
      <c r="A31" s="308"/>
      <c r="B31" s="344" t="s">
        <v>266</v>
      </c>
      <c r="C31" s="316">
        <v>2000</v>
      </c>
      <c r="D31" s="309">
        <v>500</v>
      </c>
      <c r="E31" s="309">
        <v>500</v>
      </c>
      <c r="F31" s="309">
        <v>4210</v>
      </c>
      <c r="G31" s="333">
        <f t="shared" si="2"/>
        <v>250</v>
      </c>
      <c r="H31" s="316" t="s">
        <v>229</v>
      </c>
      <c r="I31" s="317">
        <f t="shared" si="3"/>
        <v>2105</v>
      </c>
      <c r="J31" s="277">
        <v>9</v>
      </c>
    </row>
    <row r="32" spans="1:10">
      <c r="A32" s="308"/>
      <c r="B32" s="344" t="s">
        <v>267</v>
      </c>
      <c r="C32" s="316">
        <v>2000</v>
      </c>
      <c r="D32" s="309">
        <v>500</v>
      </c>
      <c r="E32" s="309">
        <v>500</v>
      </c>
      <c r="F32" s="309">
        <v>8343</v>
      </c>
      <c r="G32" s="333">
        <f t="shared" si="2"/>
        <v>250</v>
      </c>
      <c r="H32" s="316" t="s">
        <v>229</v>
      </c>
      <c r="I32" s="317">
        <f t="shared" si="3"/>
        <v>4171.5</v>
      </c>
      <c r="J32" s="277">
        <v>10</v>
      </c>
    </row>
    <row r="33" spans="1:10">
      <c r="A33" s="308"/>
      <c r="B33" s="344" t="s">
        <v>268</v>
      </c>
      <c r="C33" s="316">
        <v>2000</v>
      </c>
      <c r="D33" s="309">
        <v>500</v>
      </c>
      <c r="E33" s="309">
        <v>500</v>
      </c>
      <c r="F33" s="309">
        <v>4319</v>
      </c>
      <c r="G33" s="333">
        <f t="shared" si="2"/>
        <v>250</v>
      </c>
      <c r="H33" s="316" t="s">
        <v>229</v>
      </c>
      <c r="I33" s="317">
        <f t="shared" si="3"/>
        <v>2159.5</v>
      </c>
      <c r="J33" s="277">
        <v>11</v>
      </c>
    </row>
    <row r="34" spans="1:10">
      <c r="A34" s="308"/>
      <c r="B34" s="344" t="s">
        <v>265</v>
      </c>
      <c r="C34" s="316">
        <v>2000</v>
      </c>
      <c r="D34" s="309">
        <v>500</v>
      </c>
      <c r="E34" s="309">
        <v>1000</v>
      </c>
      <c r="F34" s="309">
        <v>2025</v>
      </c>
      <c r="G34" s="333">
        <f t="shared" si="2"/>
        <v>250</v>
      </c>
      <c r="H34" s="316" t="s">
        <v>229</v>
      </c>
      <c r="I34" s="317">
        <f t="shared" si="3"/>
        <v>506.25</v>
      </c>
      <c r="J34" s="277">
        <v>12</v>
      </c>
    </row>
    <row r="35" spans="1:10">
      <c r="A35" s="308"/>
      <c r="B35" s="344"/>
      <c r="C35" s="316"/>
      <c r="D35" s="309"/>
      <c r="E35" s="309"/>
      <c r="F35" s="309"/>
      <c r="G35" s="333"/>
      <c r="H35" s="316"/>
      <c r="I35" s="317"/>
    </row>
    <row r="36" spans="1:10">
      <c r="A36" s="308"/>
      <c r="B36" s="344"/>
      <c r="C36" s="316"/>
      <c r="D36" s="316"/>
      <c r="E36" s="316"/>
      <c r="F36" s="316"/>
      <c r="G36" s="333"/>
      <c r="H36" s="316"/>
      <c r="I36" s="317"/>
    </row>
    <row r="37" spans="1:10" ht="14.25" thickBot="1">
      <c r="A37" s="318"/>
      <c r="B37" s="319" t="s">
        <v>111</v>
      </c>
      <c r="C37" s="319"/>
      <c r="D37" s="319"/>
      <c r="E37" s="319"/>
      <c r="F37" s="319"/>
      <c r="G37" s="320"/>
      <c r="H37" s="320"/>
      <c r="I37" s="321">
        <f>SUM(I23:I36)</f>
        <v>20797.783333333333</v>
      </c>
    </row>
    <row r="38" spans="1:10" ht="14.25" thickTop="1">
      <c r="A38" s="308" t="s">
        <v>234</v>
      </c>
      <c r="B38" s="309" t="s">
        <v>235</v>
      </c>
      <c r="C38" s="309">
        <v>100</v>
      </c>
      <c r="D38" s="309">
        <v>200</v>
      </c>
      <c r="E38" s="309">
        <v>2000</v>
      </c>
      <c r="F38" s="309">
        <v>5861</v>
      </c>
      <c r="G38" s="331">
        <f>+D38/C38*1000</f>
        <v>2000</v>
      </c>
      <c r="H38" s="309" t="s">
        <v>229</v>
      </c>
      <c r="I38" s="322">
        <f>+F38/E38*G38</f>
        <v>5861</v>
      </c>
    </row>
    <row r="39" spans="1:10">
      <c r="A39" s="308" t="s">
        <v>236</v>
      </c>
      <c r="B39" s="309"/>
      <c r="C39" s="309"/>
      <c r="D39" s="309"/>
      <c r="E39" s="309"/>
      <c r="F39" s="309"/>
      <c r="G39" s="331"/>
      <c r="H39" s="309"/>
      <c r="I39" s="310"/>
    </row>
    <row r="40" spans="1:10">
      <c r="A40" s="308" t="s">
        <v>237</v>
      </c>
      <c r="B40" s="309"/>
      <c r="C40" s="309"/>
      <c r="D40" s="309"/>
      <c r="E40" s="309"/>
      <c r="F40" s="309"/>
      <c r="G40" s="331"/>
      <c r="H40" s="309"/>
      <c r="I40" s="310"/>
    </row>
    <row r="41" spans="1:10" ht="14.25" thickBot="1">
      <c r="A41" s="318"/>
      <c r="B41" s="319" t="s">
        <v>111</v>
      </c>
      <c r="C41" s="319"/>
      <c r="D41" s="319"/>
      <c r="E41" s="319"/>
      <c r="F41" s="319"/>
      <c r="G41" s="320"/>
      <c r="H41" s="320"/>
      <c r="I41" s="321">
        <f>SUM(I38:I40)</f>
        <v>5861</v>
      </c>
    </row>
    <row r="42" spans="1:10" ht="14.25" thickTop="1">
      <c r="A42" s="323" t="s">
        <v>238</v>
      </c>
      <c r="B42" s="309"/>
      <c r="C42" s="309"/>
      <c r="D42" s="309"/>
      <c r="E42" s="309"/>
      <c r="F42" s="309"/>
      <c r="G42" s="309"/>
      <c r="H42" s="309"/>
      <c r="I42" s="310"/>
    </row>
    <row r="43" spans="1:10">
      <c r="A43" s="323" t="s">
        <v>239</v>
      </c>
      <c r="B43" s="309"/>
      <c r="C43" s="309"/>
      <c r="D43" s="309"/>
      <c r="E43" s="309"/>
      <c r="F43" s="309"/>
      <c r="G43" s="309"/>
      <c r="H43" s="309"/>
      <c r="I43" s="310"/>
    </row>
    <row r="44" spans="1:10">
      <c r="A44" s="323" t="s">
        <v>231</v>
      </c>
      <c r="B44" s="309"/>
      <c r="C44" s="309"/>
      <c r="D44" s="309"/>
      <c r="E44" s="309"/>
      <c r="F44" s="309"/>
      <c r="G44" s="309"/>
      <c r="H44" s="309"/>
      <c r="I44" s="310"/>
    </row>
    <row r="45" spans="1:10" ht="14.25" thickBot="1">
      <c r="A45" s="324"/>
      <c r="B45" s="325" t="s">
        <v>240</v>
      </c>
      <c r="C45" s="325"/>
      <c r="D45" s="325"/>
      <c r="E45" s="325"/>
      <c r="F45" s="325"/>
      <c r="G45" s="326"/>
      <c r="H45" s="326"/>
      <c r="I45" s="327">
        <f>SUM(I42:I44)</f>
        <v>0</v>
      </c>
    </row>
    <row r="46" spans="1:10" ht="14.25" thickBot="1">
      <c r="A46" s="875" t="s">
        <v>22</v>
      </c>
      <c r="B46" s="876"/>
      <c r="C46" s="328"/>
      <c r="D46" s="328"/>
      <c r="E46" s="328"/>
      <c r="F46" s="328"/>
      <c r="G46" s="329"/>
      <c r="H46" s="329"/>
      <c r="I46" s="330">
        <f>SUM(I43:I45)</f>
        <v>0</v>
      </c>
    </row>
  </sheetData>
  <mergeCells count="1">
    <mergeCell ref="A46:B46"/>
  </mergeCells>
  <phoneticPr fontId="4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63"/>
  <sheetViews>
    <sheetView zoomScale="75" zoomScaleNormal="75" zoomScaleSheetLayoutView="75" workbookViewId="0"/>
  </sheetViews>
  <sheetFormatPr defaultRowHeight="13.5"/>
  <cols>
    <col min="1" max="1" width="1.625" style="9" customWidth="1"/>
    <col min="2" max="2" width="7.625" style="9" customWidth="1"/>
    <col min="3" max="3" width="15.625" style="9" customWidth="1"/>
    <col min="4" max="10" width="20.625" style="9" customWidth="1"/>
    <col min="11" max="11" width="64.875" style="9" bestFit="1" customWidth="1"/>
    <col min="12" max="12" width="9.25" style="9" bestFit="1" customWidth="1"/>
    <col min="13" max="13" width="9.625" style="9" bestFit="1" customWidth="1"/>
    <col min="14" max="16384" width="9" style="9"/>
  </cols>
  <sheetData>
    <row r="2" spans="2:11" ht="14.25" thickBot="1">
      <c r="B2" s="10" t="s">
        <v>78</v>
      </c>
      <c r="C2" s="11"/>
      <c r="D2" s="11"/>
      <c r="I2" s="12"/>
      <c r="J2" s="12"/>
      <c r="K2" s="12"/>
    </row>
    <row r="3" spans="2:11">
      <c r="B3" s="714" t="s">
        <v>213</v>
      </c>
      <c r="C3" s="715"/>
      <c r="D3" s="715"/>
      <c r="E3" s="715"/>
      <c r="F3" s="427" t="s">
        <v>477</v>
      </c>
      <c r="G3" s="427" t="s">
        <v>509</v>
      </c>
      <c r="H3" s="427" t="s">
        <v>510</v>
      </c>
      <c r="I3" s="427" t="s">
        <v>511</v>
      </c>
      <c r="J3" s="427" t="s">
        <v>512</v>
      </c>
      <c r="K3" s="718" t="s">
        <v>212</v>
      </c>
    </row>
    <row r="4" spans="2:11" ht="14.25" thickBot="1">
      <c r="B4" s="716"/>
      <c r="C4" s="717"/>
      <c r="D4" s="717"/>
      <c r="E4" s="717"/>
      <c r="F4" s="503">
        <f>SUM(G4:J4)</f>
        <v>4000</v>
      </c>
      <c r="G4" s="503">
        <v>700</v>
      </c>
      <c r="H4" s="503">
        <v>1500</v>
      </c>
      <c r="I4" s="503">
        <v>1000</v>
      </c>
      <c r="J4" s="503">
        <v>800</v>
      </c>
      <c r="K4" s="719"/>
    </row>
    <row r="5" spans="2:11" ht="13.5" hidden="1" customHeight="1">
      <c r="B5" s="501" t="s">
        <v>478</v>
      </c>
      <c r="C5" s="499" t="s">
        <v>43</v>
      </c>
      <c r="D5" s="95" t="s">
        <v>513</v>
      </c>
      <c r="E5" s="95"/>
      <c r="F5" s="406">
        <f>+F6/F4*10000</f>
        <v>3380</v>
      </c>
      <c r="G5" s="404">
        <v>3200</v>
      </c>
      <c r="H5" s="405">
        <v>3200</v>
      </c>
      <c r="I5" s="405">
        <v>3600</v>
      </c>
      <c r="J5" s="404">
        <v>3600</v>
      </c>
      <c r="K5" s="430"/>
    </row>
    <row r="6" spans="2:11" hidden="1">
      <c r="B6" s="502"/>
      <c r="C6" s="500"/>
      <c r="D6" s="95" t="s">
        <v>514</v>
      </c>
      <c r="E6" s="95"/>
      <c r="F6" s="400">
        <f>SUM(G6:J6)</f>
        <v>1352</v>
      </c>
      <c r="G6" s="401">
        <f>+G4/10*'７-１　あけみず収支'!L5/1000</f>
        <v>224</v>
      </c>
      <c r="H6" s="402">
        <f>+H4/10*'７-２幸水収支'!L5/1000</f>
        <v>480</v>
      </c>
      <c r="I6" s="402">
        <f>+I4/10*'７-３豊水収支'!L5/1000</f>
        <v>360</v>
      </c>
      <c r="J6" s="401">
        <f>+$J$4/10*'７-４あきづき収支'!L5/1000</f>
        <v>288</v>
      </c>
      <c r="K6" s="430"/>
    </row>
    <row r="7" spans="2:11" ht="14.25" hidden="1" thickBot="1">
      <c r="B7" s="502"/>
      <c r="C7" s="500"/>
      <c r="D7" s="95" t="s">
        <v>515</v>
      </c>
      <c r="E7" s="95"/>
      <c r="F7" s="400">
        <f>+F8/F6/1000</f>
        <v>352.28599605522675</v>
      </c>
      <c r="G7" s="399">
        <f>+単価基礎!R14</f>
        <v>380.40187772659237</v>
      </c>
      <c r="H7" s="403">
        <f>+単価基礎!R6</f>
        <v>362</v>
      </c>
      <c r="I7" s="403">
        <f>+単価基礎!R10</f>
        <v>341.33333333333331</v>
      </c>
      <c r="J7" s="399">
        <f>+単価基礎!R18</f>
        <v>327.11111111111114</v>
      </c>
      <c r="K7" s="430" t="s">
        <v>517</v>
      </c>
    </row>
    <row r="8" spans="2:11" ht="13.5" customHeight="1">
      <c r="B8" s="730" t="s">
        <v>478</v>
      </c>
      <c r="C8" s="728" t="s">
        <v>43</v>
      </c>
      <c r="D8" s="407" t="s">
        <v>155</v>
      </c>
      <c r="E8" s="408"/>
      <c r="F8" s="13">
        <f>SUM(G8:J8)</f>
        <v>476290666.66666663</v>
      </c>
      <c r="G8" s="242">
        <f>'７-１　あけみず収支'!F4*G$4/10</f>
        <v>85194666.666666657</v>
      </c>
      <c r="H8" s="276">
        <f>+$H$4/10*'７-２幸水収支'!F4</f>
        <v>173919999.99999997</v>
      </c>
      <c r="I8" s="397">
        <f>+$I$4/10*'７-３豊水収支'!F4</f>
        <v>123000000</v>
      </c>
      <c r="J8" s="275">
        <f>+$J$4/10*'７-４あきづき収支'!F4</f>
        <v>94176000</v>
      </c>
      <c r="K8" s="409"/>
    </row>
    <row r="9" spans="2:11">
      <c r="B9" s="731"/>
      <c r="C9" s="729"/>
      <c r="D9" s="14" t="s">
        <v>70</v>
      </c>
      <c r="E9" s="15"/>
      <c r="F9" s="16"/>
      <c r="G9" s="17"/>
      <c r="H9" s="17"/>
      <c r="I9" s="17"/>
      <c r="J9" s="18"/>
      <c r="K9" s="410"/>
    </row>
    <row r="10" spans="2:11">
      <c r="B10" s="731"/>
      <c r="C10" s="692"/>
      <c r="D10" s="695" t="s">
        <v>151</v>
      </c>
      <c r="E10" s="697"/>
      <c r="F10" s="411">
        <f>SUM(G10:J10)</f>
        <v>476290666.66666663</v>
      </c>
      <c r="G10" s="412">
        <f>G8+G9</f>
        <v>85194666.666666657</v>
      </c>
      <c r="H10" s="412">
        <f>H8+H9</f>
        <v>173919999.99999997</v>
      </c>
      <c r="I10" s="412">
        <f>I8+I9</f>
        <v>123000000</v>
      </c>
      <c r="J10" s="412">
        <f>J8+J9</f>
        <v>94176000</v>
      </c>
      <c r="K10" s="410"/>
    </row>
    <row r="11" spans="2:11">
      <c r="B11" s="731"/>
      <c r="C11" s="720" t="s">
        <v>479</v>
      </c>
      <c r="D11" s="14" t="s">
        <v>44</v>
      </c>
      <c r="E11" s="15"/>
      <c r="F11" s="16">
        <f t="shared" ref="F11:F22" si="0">SUM(G11:J11)</f>
        <v>0</v>
      </c>
      <c r="G11" s="17">
        <f>'７-１　あけみず収支'!F6*G$4/10</f>
        <v>0</v>
      </c>
      <c r="H11" s="18">
        <v>0</v>
      </c>
      <c r="I11" s="18">
        <f>+$I$4/10*'７-３豊水収支'!F6</f>
        <v>0</v>
      </c>
      <c r="J11" s="17">
        <f>+$J$4/10*'７-４あきづき収支'!F6</f>
        <v>0</v>
      </c>
      <c r="K11" s="410"/>
    </row>
    <row r="12" spans="2:11">
      <c r="B12" s="731"/>
      <c r="C12" s="721"/>
      <c r="D12" s="14" t="s">
        <v>45</v>
      </c>
      <c r="E12" s="15"/>
      <c r="F12" s="16">
        <f t="shared" si="0"/>
        <v>15500800</v>
      </c>
      <c r="G12" s="17">
        <f>'７-１　あけみず収支'!F7*G$4/10</f>
        <v>2712640</v>
      </c>
      <c r="H12" s="18">
        <f>+'７-２幸水収支'!F7*$H$4/10</f>
        <v>5812800</v>
      </c>
      <c r="I12" s="18">
        <f>+$I$4/10*'７-３豊水収支'!F7</f>
        <v>3875200</v>
      </c>
      <c r="J12" s="17">
        <f>+$J$4/10*'７-４あきづき収支'!F7</f>
        <v>3100160</v>
      </c>
      <c r="K12" s="410"/>
    </row>
    <row r="13" spans="2:11">
      <c r="B13" s="731"/>
      <c r="C13" s="721"/>
      <c r="D13" s="14" t="s">
        <v>46</v>
      </c>
      <c r="E13" s="15"/>
      <c r="F13" s="16">
        <f t="shared" si="0"/>
        <v>23543540</v>
      </c>
      <c r="G13" s="17">
        <f>'７-１　あけみず収支'!F8*G$4/10</f>
        <v>4120119.5</v>
      </c>
      <c r="H13" s="18">
        <f>+'７-２幸水収支'!F8*$H$4/10</f>
        <v>8828827.5</v>
      </c>
      <c r="I13" s="18">
        <f>+$I$4/10*'７-３豊水収支'!F8</f>
        <v>5885885</v>
      </c>
      <c r="J13" s="17">
        <f>+$J$4/10*'７-４あきづき収支'!F8</f>
        <v>4708708</v>
      </c>
      <c r="K13" s="410"/>
    </row>
    <row r="14" spans="2:11">
      <c r="B14" s="731"/>
      <c r="C14" s="721"/>
      <c r="D14" s="14" t="s">
        <v>71</v>
      </c>
      <c r="E14" s="15"/>
      <c r="F14" s="16">
        <f t="shared" si="0"/>
        <v>6560312</v>
      </c>
      <c r="G14" s="17">
        <f>'７-１　あけみず収支'!F9*G$4/10</f>
        <v>1148054.6000000001</v>
      </c>
      <c r="H14" s="18">
        <f>+'７-２幸水収支'!F9*$H$4/10</f>
        <v>2460117</v>
      </c>
      <c r="I14" s="18">
        <f>+$I$4/10*'７-３豊水収支'!F9</f>
        <v>1640078</v>
      </c>
      <c r="J14" s="17">
        <f>+$J$4/10*'７-４あきづき収支'!F9</f>
        <v>1312062.3999999999</v>
      </c>
      <c r="K14" s="410"/>
    </row>
    <row r="15" spans="2:11">
      <c r="B15" s="731"/>
      <c r="C15" s="721"/>
      <c r="D15" s="14" t="s">
        <v>47</v>
      </c>
      <c r="E15" s="15"/>
      <c r="F15" s="16">
        <f t="shared" si="0"/>
        <v>10335600</v>
      </c>
      <c r="G15" s="17">
        <f>'７-１　あけみず収支'!F10*G$4/10</f>
        <v>1808730</v>
      </c>
      <c r="H15" s="18">
        <f>+'７-２幸水収支'!F10*$H$4/10</f>
        <v>3875850</v>
      </c>
      <c r="I15" s="18">
        <f>+$I$4/10*'７-３豊水収支'!F10</f>
        <v>2583900</v>
      </c>
      <c r="J15" s="17">
        <f>+$J$4/10*'７-４あきづき収支'!F10</f>
        <v>2067120</v>
      </c>
      <c r="K15" s="410"/>
    </row>
    <row r="16" spans="2:11">
      <c r="B16" s="731"/>
      <c r="C16" s="721"/>
      <c r="D16" s="14" t="s">
        <v>4</v>
      </c>
      <c r="E16" s="15"/>
      <c r="F16" s="16">
        <f t="shared" si="0"/>
        <v>892000</v>
      </c>
      <c r="G16" s="17">
        <f>'７-１　あけみず収支'!F11*G$4/10</f>
        <v>156100</v>
      </c>
      <c r="H16" s="18">
        <f>+'７-２幸水収支'!F11*$H$4/10</f>
        <v>334500</v>
      </c>
      <c r="I16" s="18">
        <f>+$I$4/10*'７-３豊水収支'!F11</f>
        <v>223000</v>
      </c>
      <c r="J16" s="17">
        <f>+$J$4/10*'７-４あきづき収支'!F11</f>
        <v>178400</v>
      </c>
      <c r="K16" s="410"/>
    </row>
    <row r="17" spans="2:11">
      <c r="B17" s="731"/>
      <c r="C17" s="721"/>
      <c r="D17" s="14" t="s">
        <v>5</v>
      </c>
      <c r="E17" s="15"/>
      <c r="F17" s="17">
        <f t="shared" si="0"/>
        <v>1200000</v>
      </c>
      <c r="G17" s="17">
        <f>'７-１　あけみず収支'!F12*G$4/10</f>
        <v>210000</v>
      </c>
      <c r="H17" s="18">
        <f>+'７-２幸水収支'!F12*$H$4/10</f>
        <v>450000</v>
      </c>
      <c r="I17" s="18">
        <f>+$I$4/10*'７-３豊水収支'!F12</f>
        <v>300000</v>
      </c>
      <c r="J17" s="17">
        <f>+$J$4/10*'７-４あきづき収支'!F12</f>
        <v>240000</v>
      </c>
      <c r="K17" s="410"/>
    </row>
    <row r="18" spans="2:11">
      <c r="B18" s="731"/>
      <c r="C18" s="721"/>
      <c r="D18" s="723" t="s">
        <v>48</v>
      </c>
      <c r="E18" s="268" t="s">
        <v>144</v>
      </c>
      <c r="F18" s="17">
        <f t="shared" si="0"/>
        <v>3587200</v>
      </c>
      <c r="G18" s="17">
        <f>'７-１　あけみず収支'!F13*G$4/10</f>
        <v>627760</v>
      </c>
      <c r="H18" s="18">
        <f>+'７-２幸水収支'!F13*$H$4/10</f>
        <v>1345200</v>
      </c>
      <c r="I18" s="18">
        <f>+$I$4/10*'７-３豊水収支'!F13</f>
        <v>896800</v>
      </c>
      <c r="J18" s="17">
        <f>+$J$4/10*'７-４あきづき収支'!F13</f>
        <v>717440</v>
      </c>
      <c r="K18" s="410"/>
    </row>
    <row r="19" spans="2:11">
      <c r="B19" s="731"/>
      <c r="C19" s="721"/>
      <c r="D19" s="724"/>
      <c r="E19" s="268" t="s">
        <v>145</v>
      </c>
      <c r="F19" s="17">
        <f t="shared" si="0"/>
        <v>6781160.0000000009</v>
      </c>
      <c r="G19" s="17">
        <f>'７-１　あけみず収支'!F14*G$4/10</f>
        <v>1186703.0000000002</v>
      </c>
      <c r="H19" s="18">
        <f>+'７-２幸水収支'!F14*$H$4/10</f>
        <v>2542935.0000000005</v>
      </c>
      <c r="I19" s="18">
        <f>+$I$4/10*'７-３豊水収支'!F14</f>
        <v>1695290.0000000002</v>
      </c>
      <c r="J19" s="17">
        <f>+$J$4/10*'７-４あきづき収支'!F14</f>
        <v>1356232</v>
      </c>
      <c r="K19" s="410"/>
    </row>
    <row r="20" spans="2:11">
      <c r="B20" s="731"/>
      <c r="C20" s="721"/>
      <c r="D20" s="725" t="s">
        <v>72</v>
      </c>
      <c r="E20" s="268" t="s">
        <v>144</v>
      </c>
      <c r="F20" s="17">
        <f t="shared" si="0"/>
        <v>33111619.047619049</v>
      </c>
      <c r="G20" s="17">
        <f>'７-１　あけみず収支'!F15*G$4/10</f>
        <v>5794533.333333334</v>
      </c>
      <c r="H20" s="18">
        <f>+'７-２幸水収支'!F15*$H$4/10</f>
        <v>12416857.142857144</v>
      </c>
      <c r="I20" s="18">
        <f>+$I$4/10*'７-３豊水収支'!F15</f>
        <v>8277904.7619047621</v>
      </c>
      <c r="J20" s="17">
        <f>+$J$4/10*'７-４あきづき収支'!F15</f>
        <v>6622323.8095238097</v>
      </c>
      <c r="K20" s="410"/>
    </row>
    <row r="21" spans="2:11">
      <c r="B21" s="731"/>
      <c r="C21" s="721"/>
      <c r="D21" s="726"/>
      <c r="E21" s="268" t="s">
        <v>145</v>
      </c>
      <c r="F21" s="17">
        <f t="shared" si="0"/>
        <v>21283600.000000004</v>
      </c>
      <c r="G21" s="17">
        <f>'７-１　あけみず収支'!F16*G$4/10</f>
        <v>3724630.0000000009</v>
      </c>
      <c r="H21" s="18">
        <f>+'７-２幸水収支'!F16*$H$4/10</f>
        <v>7981350.0000000019</v>
      </c>
      <c r="I21" s="18">
        <f>+$I$4/10*'７-３豊水収支'!F16</f>
        <v>5320900.0000000009</v>
      </c>
      <c r="J21" s="17">
        <f>+$J$4/10*'７-４あきづき収支'!F16</f>
        <v>4256720.0000000009</v>
      </c>
      <c r="K21" s="410"/>
    </row>
    <row r="22" spans="2:11">
      <c r="B22" s="731"/>
      <c r="C22" s="721"/>
      <c r="D22" s="724"/>
      <c r="E22" s="269" t="s">
        <v>49</v>
      </c>
      <c r="F22" s="17">
        <f t="shared" si="0"/>
        <v>3354230.7692307695</v>
      </c>
      <c r="G22" s="17">
        <f>'７-１　あけみず収支'!F17*G$4/10</f>
        <v>511538.4615384615</v>
      </c>
      <c r="H22" s="18">
        <f>+'７-２幸水収支'!F17*$H$4/10</f>
        <v>1644230.7692307692</v>
      </c>
      <c r="I22" s="18">
        <f>+$I$4/10*'７-３豊水収支'!F17</f>
        <v>730769.23076923075</v>
      </c>
      <c r="J22" s="17">
        <f>+$J$4/10*'７-４あきづき収支'!F17</f>
        <v>467692.30769230763</v>
      </c>
      <c r="K22" s="410"/>
    </row>
    <row r="23" spans="2:11">
      <c r="B23" s="731"/>
      <c r="C23" s="721"/>
      <c r="D23" s="727" t="s">
        <v>480</v>
      </c>
      <c r="E23" s="269" t="s">
        <v>503</v>
      </c>
      <c r="F23" s="17">
        <f>5500000*15</f>
        <v>82500000</v>
      </c>
      <c r="G23" s="17">
        <f>+$F$23*G4/$F$4</f>
        <v>14437500</v>
      </c>
      <c r="H23" s="17">
        <f t="shared" ref="H23:J23" si="1">+$F$23*H4/$F$4</f>
        <v>30937500</v>
      </c>
      <c r="I23" s="17">
        <f t="shared" si="1"/>
        <v>20625000</v>
      </c>
      <c r="J23" s="17">
        <f t="shared" si="1"/>
        <v>16500000</v>
      </c>
      <c r="K23" s="410" t="s">
        <v>536</v>
      </c>
    </row>
    <row r="24" spans="2:11">
      <c r="B24" s="731"/>
      <c r="C24" s="721"/>
      <c r="D24" s="727"/>
      <c r="E24" s="269" t="s">
        <v>504</v>
      </c>
      <c r="F24" s="17">
        <f>3200000*20</f>
        <v>64000000</v>
      </c>
      <c r="G24" s="17">
        <f>+$F$24*G4/$F$4</f>
        <v>11200000</v>
      </c>
      <c r="H24" s="17">
        <f t="shared" ref="H24:J24" si="2">+$F$24*H4/$F$4</f>
        <v>24000000</v>
      </c>
      <c r="I24" s="17">
        <f t="shared" si="2"/>
        <v>16000000</v>
      </c>
      <c r="J24" s="17">
        <f t="shared" si="2"/>
        <v>12800000</v>
      </c>
      <c r="K24" s="410" t="s">
        <v>537</v>
      </c>
    </row>
    <row r="25" spans="2:11">
      <c r="B25" s="731"/>
      <c r="C25" s="721"/>
      <c r="D25" s="727"/>
      <c r="E25" s="269" t="s">
        <v>505</v>
      </c>
      <c r="F25" s="17">
        <f>+'５　作業時間'!AM18*900</f>
        <v>20034000</v>
      </c>
      <c r="G25" s="17">
        <f>+$F$25*G4/$F$4</f>
        <v>3505950</v>
      </c>
      <c r="H25" s="17">
        <f t="shared" ref="H25:J25" si="3">+$F$25*H4/$F$4</f>
        <v>7512750</v>
      </c>
      <c r="I25" s="17">
        <f t="shared" si="3"/>
        <v>5008500</v>
      </c>
      <c r="J25" s="17">
        <f t="shared" si="3"/>
        <v>4006800</v>
      </c>
      <c r="K25" s="410" t="s">
        <v>539</v>
      </c>
    </row>
    <row r="26" spans="2:11">
      <c r="B26" s="731"/>
      <c r="C26" s="721"/>
      <c r="D26" s="727"/>
      <c r="E26" s="413" t="s">
        <v>501</v>
      </c>
      <c r="F26" s="513">
        <f>+(F23+F24+F25)*0.124</f>
        <v>20650216</v>
      </c>
      <c r="G26" s="513">
        <f>+(G23+G24+G25)*0.124</f>
        <v>3613787.8</v>
      </c>
      <c r="H26" s="513">
        <f>+(H23+H24+H25)*0.124</f>
        <v>7743831</v>
      </c>
      <c r="I26" s="513">
        <f>+(I23+I24+I25)*0.124</f>
        <v>5162554</v>
      </c>
      <c r="J26" s="513">
        <f>+(J23+J24+J25)*0.124</f>
        <v>4130043.2</v>
      </c>
      <c r="K26" s="515" t="s">
        <v>576</v>
      </c>
    </row>
    <row r="27" spans="2:11">
      <c r="B27" s="731"/>
      <c r="C27" s="721"/>
      <c r="D27" s="725" t="s">
        <v>482</v>
      </c>
      <c r="E27" s="15" t="s">
        <v>483</v>
      </c>
      <c r="F27" s="17">
        <f t="shared" ref="F27:F29" si="4">SUM(G27,H27,I27)</f>
        <v>0</v>
      </c>
      <c r="G27" s="17"/>
      <c r="H27" s="17"/>
      <c r="I27" s="17"/>
      <c r="J27" s="18"/>
      <c r="K27" s="410"/>
    </row>
    <row r="28" spans="2:11">
      <c r="B28" s="731"/>
      <c r="C28" s="721"/>
      <c r="D28" s="724"/>
      <c r="E28" s="15" t="s">
        <v>484</v>
      </c>
      <c r="F28" s="16">
        <f t="shared" si="4"/>
        <v>0</v>
      </c>
      <c r="G28" s="17"/>
      <c r="H28" s="17"/>
      <c r="I28" s="17"/>
      <c r="J28" s="18"/>
      <c r="K28" s="410"/>
    </row>
    <row r="29" spans="2:11">
      <c r="B29" s="731"/>
      <c r="C29" s="721"/>
      <c r="D29" s="14" t="s">
        <v>50</v>
      </c>
      <c r="E29" s="15"/>
      <c r="F29" s="16">
        <f t="shared" si="4"/>
        <v>0</v>
      </c>
      <c r="G29" s="17"/>
      <c r="H29" s="17"/>
      <c r="I29" s="17"/>
      <c r="J29" s="18"/>
      <c r="K29" s="410"/>
    </row>
    <row r="30" spans="2:11">
      <c r="B30" s="731"/>
      <c r="C30" s="721"/>
      <c r="D30" s="14" t="s">
        <v>125</v>
      </c>
      <c r="E30" s="15"/>
      <c r="F30" s="16">
        <f>SUM(G30:J30)</f>
        <v>3133342.7781684985</v>
      </c>
      <c r="G30" s="17">
        <f>SUM(G11:G26)*0.01</f>
        <v>547580.46694871795</v>
      </c>
      <c r="H30" s="17">
        <f t="shared" ref="H30:J30" si="5">SUM(H11:H26)*0.01</f>
        <v>1178867.4841208791</v>
      </c>
      <c r="I30" s="17">
        <f t="shared" si="5"/>
        <v>782257.80992673989</v>
      </c>
      <c r="J30" s="17">
        <f t="shared" si="5"/>
        <v>624637.01717216126</v>
      </c>
      <c r="K30" s="410"/>
    </row>
    <row r="31" spans="2:11">
      <c r="B31" s="731"/>
      <c r="C31" s="722"/>
      <c r="D31" s="693" t="s">
        <v>152</v>
      </c>
      <c r="E31" s="694"/>
      <c r="F31" s="414">
        <f>SUM(F11:F30)</f>
        <v>316467620.59501833</v>
      </c>
      <c r="G31" s="414">
        <f>SUM(G11:G30)</f>
        <v>55305627.161820509</v>
      </c>
      <c r="H31" s="414">
        <f>SUM(H11:H30)</f>
        <v>119065615.89620879</v>
      </c>
      <c r="I31" s="414">
        <f>SUM(I11:I30)</f>
        <v>79008038.802600726</v>
      </c>
      <c r="J31" s="414">
        <f>SUM(J11:J30)</f>
        <v>63088338.734388277</v>
      </c>
      <c r="K31" s="410"/>
    </row>
    <row r="32" spans="2:11">
      <c r="B32" s="731"/>
      <c r="C32" s="695" t="s">
        <v>485</v>
      </c>
      <c r="D32" s="696"/>
      <c r="E32" s="697"/>
      <c r="F32" s="411">
        <f>F10-F31</f>
        <v>159823046.0716483</v>
      </c>
      <c r="G32" s="411">
        <f>G10-G31</f>
        <v>29889039.504846148</v>
      </c>
      <c r="H32" s="411">
        <f>H10-H31</f>
        <v>54854384.103791177</v>
      </c>
      <c r="I32" s="411">
        <f>I10-I31</f>
        <v>43991961.197399274</v>
      </c>
      <c r="J32" s="411">
        <f>J10-J31</f>
        <v>31087661.265611723</v>
      </c>
      <c r="K32" s="410"/>
    </row>
    <row r="33" spans="2:11">
      <c r="B33" s="731"/>
      <c r="C33" s="698" t="s">
        <v>149</v>
      </c>
      <c r="D33" s="701" t="s">
        <v>51</v>
      </c>
      <c r="E33" s="20" t="s">
        <v>1</v>
      </c>
      <c r="F33" s="17">
        <f>SUM(G33:J33)</f>
        <v>33083440</v>
      </c>
      <c r="G33" s="17">
        <f>+'７-１　あけみず収支'!F21*'4.経営収支(法人様式）'!G4/10</f>
        <v>5481280</v>
      </c>
      <c r="H33" s="18">
        <f>+'７-２幸水収支'!F21*'4.経営収支(法人様式）'!H4/10</f>
        <v>11745600</v>
      </c>
      <c r="I33" s="18">
        <f>+'７-３豊水収支'!F21*'4.経営収支(法人様式）'!I4/10</f>
        <v>8809200</v>
      </c>
      <c r="J33" s="17">
        <f>+'７-４あきづき収支'!F21*'4.経営収支(法人様式）'!J4/10</f>
        <v>7047360</v>
      </c>
      <c r="K33" s="410"/>
    </row>
    <row r="34" spans="2:11">
      <c r="B34" s="731"/>
      <c r="C34" s="699"/>
      <c r="D34" s="702"/>
      <c r="E34" s="20" t="s">
        <v>2</v>
      </c>
      <c r="F34" s="17">
        <f t="shared" ref="F34" si="6">SUM(G34:J34)</f>
        <v>6940266.666666667</v>
      </c>
      <c r="G34" s="17">
        <f>+G4/10*'７-１　あけみず収支'!F22</f>
        <v>1149866.6666666667</v>
      </c>
      <c r="H34" s="18">
        <f>+H4/10*'７-２幸水収支'!F22</f>
        <v>2464000</v>
      </c>
      <c r="I34" s="18">
        <f>+I4/10*'７-３豊水収支'!F22</f>
        <v>1848000</v>
      </c>
      <c r="J34" s="17">
        <f>+J4/10*'７-４あきづき収支'!F22</f>
        <v>1478400</v>
      </c>
      <c r="K34" s="410"/>
    </row>
    <row r="35" spans="2:11">
      <c r="B35" s="731"/>
      <c r="C35" s="699"/>
      <c r="D35" s="703"/>
      <c r="E35" s="20" t="s">
        <v>6</v>
      </c>
      <c r="F35" s="17">
        <f>SUM(G35:J35)</f>
        <v>28835573.378294356</v>
      </c>
      <c r="G35" s="17">
        <f>+G4/10*'７-１　あけみず収支'!F23</f>
        <v>5474506.7116276799</v>
      </c>
      <c r="H35" s="18">
        <f>+'７-２幸水収支'!F23*'4.経営収支(法人様式）'!H4/10</f>
        <v>10759466.666666668</v>
      </c>
      <c r="I35" s="18">
        <f>+I4/10*'７-３豊水収支'!F23</f>
        <v>7251200.0000000028</v>
      </c>
      <c r="J35" s="17">
        <f>+J4/10*'７-４あきづき収支'!F23</f>
        <v>5350400.0000000019</v>
      </c>
      <c r="K35" s="410"/>
    </row>
    <row r="36" spans="2:11">
      <c r="B36" s="731"/>
      <c r="C36" s="699"/>
      <c r="D36" s="20" t="s">
        <v>486</v>
      </c>
      <c r="E36" s="21" t="s">
        <v>532</v>
      </c>
      <c r="F36" s="16">
        <f>5500000*2</f>
        <v>11000000</v>
      </c>
      <c r="G36" s="17">
        <f>+$F$36*G4/$F$4</f>
        <v>1925000</v>
      </c>
      <c r="H36" s="17">
        <f t="shared" ref="H36:J36" si="7">+$F$36*H4/$F$4</f>
        <v>4125000</v>
      </c>
      <c r="I36" s="17">
        <f t="shared" si="7"/>
        <v>2750000</v>
      </c>
      <c r="J36" s="17">
        <f t="shared" si="7"/>
        <v>2200000</v>
      </c>
      <c r="K36" s="410" t="s">
        <v>506</v>
      </c>
    </row>
    <row r="37" spans="2:11">
      <c r="B37" s="731"/>
      <c r="C37" s="699"/>
      <c r="D37" s="704" t="s">
        <v>487</v>
      </c>
      <c r="E37" s="269" t="s">
        <v>481</v>
      </c>
      <c r="F37" s="18">
        <f>5500000*3</f>
        <v>16500000</v>
      </c>
      <c r="G37" s="17">
        <f>+$F$37*G4/$F$4</f>
        <v>2887500</v>
      </c>
      <c r="H37" s="17">
        <f t="shared" ref="H37:J37" si="8">+$F$37*H4/$F$4</f>
        <v>6187500</v>
      </c>
      <c r="I37" s="17">
        <f t="shared" si="8"/>
        <v>4125000</v>
      </c>
      <c r="J37" s="17">
        <f t="shared" si="8"/>
        <v>3300000</v>
      </c>
      <c r="K37" s="410" t="s">
        <v>535</v>
      </c>
    </row>
    <row r="38" spans="2:11">
      <c r="B38" s="731"/>
      <c r="C38" s="699"/>
      <c r="D38" s="704"/>
      <c r="E38" s="269" t="s">
        <v>501</v>
      </c>
      <c r="F38" s="514">
        <f>+(F36+F37)*0.124</f>
        <v>3410000</v>
      </c>
      <c r="G38" s="513">
        <f>+$F$38*G4/$F$4</f>
        <v>596750</v>
      </c>
      <c r="H38" s="513">
        <f t="shared" ref="H38:J38" si="9">+$F$38*H4/$F$4</f>
        <v>1278750</v>
      </c>
      <c r="I38" s="513">
        <f t="shared" si="9"/>
        <v>852500</v>
      </c>
      <c r="J38" s="513">
        <f t="shared" si="9"/>
        <v>682000</v>
      </c>
      <c r="K38" s="515" t="s">
        <v>577</v>
      </c>
    </row>
    <row r="39" spans="2:11">
      <c r="B39" s="731"/>
      <c r="C39" s="699"/>
      <c r="D39" s="20" t="s">
        <v>488</v>
      </c>
      <c r="E39" s="21"/>
      <c r="F39" s="17">
        <f>150000*40</f>
        <v>6000000</v>
      </c>
      <c r="G39" s="17">
        <f>+$F$39*G4/$F$4</f>
        <v>1050000</v>
      </c>
      <c r="H39" s="17">
        <f t="shared" ref="H39:J39" si="10">+$F$39*H4/$F$4</f>
        <v>2250000</v>
      </c>
      <c r="I39" s="17">
        <f t="shared" si="10"/>
        <v>1500000</v>
      </c>
      <c r="J39" s="17">
        <f t="shared" si="10"/>
        <v>1200000</v>
      </c>
      <c r="K39" s="410" t="s">
        <v>538</v>
      </c>
    </row>
    <row r="40" spans="2:11">
      <c r="B40" s="731"/>
      <c r="C40" s="699"/>
      <c r="D40" s="20" t="s">
        <v>73</v>
      </c>
      <c r="E40" s="21"/>
      <c r="F40" s="16"/>
      <c r="G40" s="17"/>
      <c r="H40" s="17"/>
      <c r="I40" s="17"/>
      <c r="J40" s="18"/>
      <c r="K40" s="410"/>
    </row>
    <row r="41" spans="2:11">
      <c r="B41" s="731"/>
      <c r="C41" s="699"/>
      <c r="D41" s="20" t="s">
        <v>96</v>
      </c>
      <c r="E41" s="21"/>
      <c r="F41" s="17">
        <f t="shared" ref="F41" si="11">SUM(G41:J41)</f>
        <v>3271190</v>
      </c>
      <c r="G41" s="17">
        <f>+G4/10*'７-１　あけみず収支'!F26</f>
        <v>572458.25</v>
      </c>
      <c r="H41" s="18">
        <f>+'７-２幸水収支'!F26*H4/10</f>
        <v>1226696.25</v>
      </c>
      <c r="I41" s="18">
        <f>+I4/10*'７-３豊水収支'!F26</f>
        <v>817797.5</v>
      </c>
      <c r="J41" s="17">
        <f>+J4/10*'７-４あきづき収支'!F26</f>
        <v>654238</v>
      </c>
      <c r="K41" s="410"/>
    </row>
    <row r="42" spans="2:11">
      <c r="B42" s="731"/>
      <c r="C42" s="699"/>
      <c r="D42" s="20" t="s">
        <v>74</v>
      </c>
      <c r="E42" s="21"/>
      <c r="F42" s="16">
        <f>+'７-１　あけみず収支'!F27*'4.経営収支(法人様式）'!F4/10</f>
        <v>5714285.7142857146</v>
      </c>
      <c r="G42" s="17">
        <f>+$F$42*G4/$F$4</f>
        <v>1000000</v>
      </c>
      <c r="H42" s="17">
        <f t="shared" ref="H42:J42" si="12">+$F$42*H4/$F$4</f>
        <v>2142857.1428571427</v>
      </c>
      <c r="I42" s="17">
        <f t="shared" si="12"/>
        <v>1428571.4285714286</v>
      </c>
      <c r="J42" s="17">
        <f t="shared" si="12"/>
        <v>1142857.142857143</v>
      </c>
      <c r="K42" s="410" t="s">
        <v>533</v>
      </c>
    </row>
    <row r="43" spans="2:11">
      <c r="B43" s="731"/>
      <c r="C43" s="699"/>
      <c r="D43" s="20" t="s">
        <v>52</v>
      </c>
      <c r="E43" s="21"/>
      <c r="F43" s="16">
        <f>SUM(G43:J43)</f>
        <v>1651280</v>
      </c>
      <c r="G43" s="18">
        <f>+'８　算出基礎'!$N$57*'4.経営収支(法人様式）'!G4/10</f>
        <v>288974</v>
      </c>
      <c r="H43" s="18">
        <f>+'８　算出基礎'!$N$57*'4.経営収支(法人様式）'!H4/10</f>
        <v>619230</v>
      </c>
      <c r="I43" s="18">
        <f>+'８　算出基礎'!$N$57*'4.経営収支(法人様式）'!I4/10</f>
        <v>412820</v>
      </c>
      <c r="J43" s="18">
        <f>+'８　算出基礎'!$N$57*'4.経営収支(法人様式）'!J4/10</f>
        <v>330256</v>
      </c>
      <c r="K43" s="410"/>
    </row>
    <row r="44" spans="2:11">
      <c r="B44" s="731"/>
      <c r="C44" s="699"/>
      <c r="D44" s="20" t="s">
        <v>476</v>
      </c>
      <c r="E44" s="21"/>
      <c r="F44" s="16">
        <f>+(F8-F11-F12-F13-F14-F15-F16-F18-F19-F33-F34-F35)*0.08</f>
        <v>27218461.969736449</v>
      </c>
      <c r="G44" s="16">
        <f>+$F$44*G4/$F$4</f>
        <v>4763230.8447038783</v>
      </c>
      <c r="H44" s="16">
        <f t="shared" ref="H44:J44" si="13">+$F$44*H4/$F$4</f>
        <v>10206923.238651169</v>
      </c>
      <c r="I44" s="16">
        <f t="shared" si="13"/>
        <v>6804615.4924341124</v>
      </c>
      <c r="J44" s="16">
        <f t="shared" si="13"/>
        <v>5443692.3939472893</v>
      </c>
      <c r="K44" s="516" t="s">
        <v>534</v>
      </c>
    </row>
    <row r="45" spans="2:11">
      <c r="B45" s="731"/>
      <c r="C45" s="699"/>
      <c r="D45" s="20" t="s">
        <v>489</v>
      </c>
      <c r="E45" s="21"/>
      <c r="F45" s="16"/>
      <c r="G45" s="17"/>
      <c r="H45" s="17"/>
      <c r="I45" s="17"/>
      <c r="J45" s="18"/>
      <c r="K45" s="410"/>
    </row>
    <row r="46" spans="2:11" ht="14.25" thickBot="1">
      <c r="B46" s="710"/>
      <c r="C46" s="700"/>
      <c r="D46" s="705" t="s">
        <v>490</v>
      </c>
      <c r="E46" s="706"/>
      <c r="F46" s="415">
        <f>SUM(F33:F45)</f>
        <v>143624497.72898319</v>
      </c>
      <c r="G46" s="415">
        <f>SUM(G33:G45)</f>
        <v>25189566.472998228</v>
      </c>
      <c r="H46" s="415">
        <f t="shared" ref="H46:J46" si="14">SUM(H33:H45)</f>
        <v>53006023.298174985</v>
      </c>
      <c r="I46" s="415">
        <f t="shared" si="14"/>
        <v>36599704.421005547</v>
      </c>
      <c r="J46" s="415">
        <f t="shared" si="14"/>
        <v>28829203.53680443</v>
      </c>
      <c r="K46" s="416"/>
    </row>
    <row r="47" spans="2:11" ht="14.25" thickBot="1">
      <c r="B47" s="707" t="s">
        <v>491</v>
      </c>
      <c r="C47" s="708"/>
      <c r="D47" s="708"/>
      <c r="E47" s="708"/>
      <c r="F47" s="417">
        <f>F32-F46</f>
        <v>16198548.342665106</v>
      </c>
      <c r="G47" s="417">
        <f t="shared" ref="G47:J47" si="15">G32-G46</f>
        <v>4699473.0318479203</v>
      </c>
      <c r="H47" s="417">
        <f t="shared" si="15"/>
        <v>1848360.8056161925</v>
      </c>
      <c r="I47" s="417">
        <f t="shared" si="15"/>
        <v>7392256.7763937265</v>
      </c>
      <c r="J47" s="417">
        <f t="shared" si="15"/>
        <v>2258457.7288072929</v>
      </c>
      <c r="K47" s="435"/>
    </row>
    <row r="48" spans="2:11">
      <c r="B48" s="709" t="s">
        <v>492</v>
      </c>
      <c r="C48" s="711" t="s">
        <v>493</v>
      </c>
      <c r="D48" s="431" t="s">
        <v>494</v>
      </c>
      <c r="E48" s="432"/>
      <c r="F48" s="433"/>
      <c r="G48" s="418"/>
      <c r="H48" s="434"/>
      <c r="I48" s="418"/>
      <c r="J48" s="428"/>
      <c r="K48" s="420"/>
    </row>
    <row r="49" spans="2:13">
      <c r="B49" s="709"/>
      <c r="C49" s="711"/>
      <c r="D49" s="14" t="s">
        <v>495</v>
      </c>
      <c r="E49" s="15"/>
      <c r="F49" s="419"/>
      <c r="G49" s="418"/>
      <c r="H49" s="16"/>
      <c r="I49" s="17"/>
      <c r="J49" s="428"/>
      <c r="K49" s="420"/>
    </row>
    <row r="50" spans="2:13">
      <c r="B50" s="709"/>
      <c r="C50" s="712"/>
      <c r="D50" s="20" t="s">
        <v>496</v>
      </c>
      <c r="E50" s="15"/>
      <c r="F50" s="419"/>
      <c r="G50" s="418"/>
      <c r="H50" s="16"/>
      <c r="I50" s="17"/>
      <c r="J50" s="18"/>
      <c r="K50" s="410"/>
      <c r="M50" s="534"/>
    </row>
    <row r="51" spans="2:13">
      <c r="B51" s="709"/>
      <c r="C51" s="712" t="s">
        <v>502</v>
      </c>
      <c r="D51" s="20" t="s">
        <v>497</v>
      </c>
      <c r="E51" s="21"/>
      <c r="F51" s="398">
        <f>+'６　固定資本装備と減価償却費'!G33</f>
        <v>7758432</v>
      </c>
      <c r="G51" s="418">
        <f>+$F$51*G8/$F$8</f>
        <v>1387759.7743450776</v>
      </c>
      <c r="H51" s="418">
        <f t="shared" ref="H51:J51" si="16">+$F$51*H8/$F$8</f>
        <v>2833031.5663824328</v>
      </c>
      <c r="I51" s="418">
        <f t="shared" si="16"/>
        <v>2003581.4320666934</v>
      </c>
      <c r="J51" s="418">
        <f t="shared" si="16"/>
        <v>1534059.2272057959</v>
      </c>
      <c r="K51" s="420" t="s">
        <v>586</v>
      </c>
    </row>
    <row r="52" spans="2:13">
      <c r="B52" s="709"/>
      <c r="C52" s="698"/>
      <c r="D52" s="421" t="s">
        <v>498</v>
      </c>
      <c r="E52" s="422"/>
      <c r="F52" s="423"/>
      <c r="G52" s="418"/>
      <c r="H52" s="16"/>
      <c r="I52" s="17"/>
      <c r="J52" s="429"/>
      <c r="K52" s="424"/>
    </row>
    <row r="53" spans="2:13" ht="14.25" thickBot="1">
      <c r="B53" s="710"/>
      <c r="C53" s="705" t="s">
        <v>499</v>
      </c>
      <c r="D53" s="713"/>
      <c r="E53" s="706"/>
      <c r="F53" s="425">
        <f>SUM(F48:F50)-SUM(F51:F52)</f>
        <v>-7758432</v>
      </c>
      <c r="G53" s="425">
        <f t="shared" ref="G53:J53" si="17">SUM(G48:G50)-SUM(G51:G52)</f>
        <v>-1387759.7743450776</v>
      </c>
      <c r="H53" s="425">
        <f t="shared" si="17"/>
        <v>-2833031.5663824328</v>
      </c>
      <c r="I53" s="425">
        <f t="shared" si="17"/>
        <v>-2003581.4320666934</v>
      </c>
      <c r="J53" s="425">
        <f t="shared" si="17"/>
        <v>-1534059.2272057959</v>
      </c>
      <c r="K53" s="416"/>
    </row>
    <row r="54" spans="2:13">
      <c r="B54" s="691" t="s">
        <v>500</v>
      </c>
      <c r="C54" s="692"/>
      <c r="D54" s="692"/>
      <c r="E54" s="692"/>
      <c r="F54" s="426">
        <f>F47+F53</f>
        <v>8440116.3426651061</v>
      </c>
      <c r="G54" s="426">
        <f>G47+G53</f>
        <v>3311713.2575028427</v>
      </c>
      <c r="H54" s="426">
        <f>H47+H53</f>
        <v>-984670.7607662403</v>
      </c>
      <c r="I54" s="426">
        <f>I47+I53</f>
        <v>5388675.3443270326</v>
      </c>
      <c r="J54" s="426">
        <f>J47+J53</f>
        <v>724398.50160149694</v>
      </c>
      <c r="K54" s="420"/>
    </row>
    <row r="56" spans="2:13">
      <c r="E56" s="517" t="s">
        <v>507</v>
      </c>
      <c r="F56" s="518">
        <f>+F31/F6/1000</f>
        <v>234.07368387205497</v>
      </c>
      <c r="G56" s="518">
        <f t="shared" ref="G56:J56" si="18">+G31/G6/1000</f>
        <v>246.90012125812726</v>
      </c>
      <c r="H56" s="518">
        <f t="shared" si="18"/>
        <v>248.05336645043499</v>
      </c>
      <c r="I56" s="518">
        <f t="shared" si="18"/>
        <v>219.4667744516687</v>
      </c>
      <c r="J56" s="518">
        <f t="shared" si="18"/>
        <v>219.05673171662596</v>
      </c>
    </row>
    <row r="57" spans="2:13">
      <c r="E57" s="517" t="s">
        <v>508</v>
      </c>
      <c r="F57" s="518">
        <f>+(F46+F31)/F6/1000</f>
        <v>340.30482124556329</v>
      </c>
      <c r="G57" s="518">
        <f t="shared" ref="G57:J57" si="19">+(G46+G31)/G6/1000</f>
        <v>359.3535430125836</v>
      </c>
      <c r="H57" s="518">
        <f t="shared" si="19"/>
        <v>358.48258165496617</v>
      </c>
      <c r="I57" s="518">
        <f t="shared" si="19"/>
        <v>321.13262006557295</v>
      </c>
      <c r="J57" s="518">
        <f t="shared" si="19"/>
        <v>319.15813288608575</v>
      </c>
    </row>
    <row r="58" spans="2:13">
      <c r="E58" s="517"/>
      <c r="F58" s="517"/>
      <c r="G58" s="517"/>
      <c r="H58" s="517"/>
      <c r="I58" s="517"/>
      <c r="J58" s="517"/>
    </row>
    <row r="59" spans="2:13">
      <c r="E59" s="517" t="s">
        <v>519</v>
      </c>
      <c r="F59" s="519">
        <f>+F37+F36+F23</f>
        <v>110000000</v>
      </c>
      <c r="G59" s="517"/>
      <c r="H59" s="517"/>
      <c r="I59" s="517"/>
      <c r="J59" s="517"/>
    </row>
    <row r="60" spans="2:13">
      <c r="E60" s="517" t="s">
        <v>520</v>
      </c>
      <c r="F60" s="520">
        <f>+F59/F8</f>
        <v>0.23095140782379389</v>
      </c>
      <c r="G60" s="517"/>
      <c r="H60" s="517"/>
      <c r="I60" s="517"/>
      <c r="J60" s="517"/>
    </row>
    <row r="61" spans="2:13">
      <c r="E61" s="517"/>
      <c r="F61" s="517"/>
      <c r="G61" s="517"/>
      <c r="H61" s="517"/>
      <c r="I61" s="517"/>
      <c r="J61" s="517"/>
    </row>
    <row r="62" spans="2:13">
      <c r="E62" s="517"/>
      <c r="F62" s="517"/>
      <c r="G62" s="517"/>
      <c r="H62" s="517"/>
      <c r="I62" s="517"/>
      <c r="J62" s="517"/>
    </row>
    <row r="63" spans="2:13">
      <c r="E63" s="517"/>
      <c r="F63" s="519">
        <f>+F44</f>
        <v>27218461.969736449</v>
      </c>
      <c r="G63" s="517"/>
      <c r="H63" s="517"/>
      <c r="I63" s="517"/>
      <c r="J63" s="517"/>
    </row>
  </sheetData>
  <mergeCells count="22">
    <mergeCell ref="B3:E4"/>
    <mergeCell ref="K3:K4"/>
    <mergeCell ref="D10:E10"/>
    <mergeCell ref="C11:C31"/>
    <mergeCell ref="D18:D19"/>
    <mergeCell ref="D20:D22"/>
    <mergeCell ref="D23:D26"/>
    <mergeCell ref="D27:D28"/>
    <mergeCell ref="C8:C10"/>
    <mergeCell ref="B8:B46"/>
    <mergeCell ref="B54:E54"/>
    <mergeCell ref="D31:E31"/>
    <mergeCell ref="C32:E32"/>
    <mergeCell ref="C33:C46"/>
    <mergeCell ref="D33:D35"/>
    <mergeCell ref="D37:D38"/>
    <mergeCell ref="D46:E46"/>
    <mergeCell ref="B47:E47"/>
    <mergeCell ref="B48:B53"/>
    <mergeCell ref="C48:C50"/>
    <mergeCell ref="C51:C52"/>
    <mergeCell ref="C53:E53"/>
  </mergeCells>
  <phoneticPr fontId="4"/>
  <conditionalFormatting sqref="F11:J30">
    <cfRule type="cellIs" dxfId="12" priority="1" operator="equal">
      <formula>0</formula>
    </cfRule>
  </conditionalFormatting>
  <pageMargins left="0.7" right="0.7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22"/>
  <sheetViews>
    <sheetView showZeros="0" zoomScale="75" zoomScaleNormal="75" zoomScaleSheetLayoutView="75" workbookViewId="0"/>
  </sheetViews>
  <sheetFormatPr defaultRowHeight="13.5"/>
  <cols>
    <col min="1" max="1" width="1.375" style="23" customWidth="1"/>
    <col min="2" max="2" width="17.125" style="23" customWidth="1"/>
    <col min="3" max="38" width="7.625" style="23" customWidth="1"/>
    <col min="39" max="39" width="10.625" style="23" customWidth="1"/>
    <col min="40" max="40" width="1.5" style="23" customWidth="1"/>
    <col min="41" max="256" width="9" style="23"/>
    <col min="257" max="257" width="1.375" style="23" customWidth="1"/>
    <col min="258" max="258" width="18.875" style="23" customWidth="1"/>
    <col min="259" max="294" width="6.875" style="23" customWidth="1"/>
    <col min="295" max="295" width="7.625" style="23" customWidth="1"/>
    <col min="296" max="296" width="1.5" style="23" customWidth="1"/>
    <col min="297" max="512" width="9" style="23"/>
    <col min="513" max="513" width="1.375" style="23" customWidth="1"/>
    <col min="514" max="514" width="18.875" style="23" customWidth="1"/>
    <col min="515" max="550" width="6.875" style="23" customWidth="1"/>
    <col min="551" max="551" width="7.625" style="23" customWidth="1"/>
    <col min="552" max="552" width="1.5" style="23" customWidth="1"/>
    <col min="553" max="768" width="9" style="23"/>
    <col min="769" max="769" width="1.375" style="23" customWidth="1"/>
    <col min="770" max="770" width="18.875" style="23" customWidth="1"/>
    <col min="771" max="806" width="6.875" style="23" customWidth="1"/>
    <col min="807" max="807" width="7.625" style="23" customWidth="1"/>
    <col min="808" max="808" width="1.5" style="23" customWidth="1"/>
    <col min="809" max="1024" width="9" style="23"/>
    <col min="1025" max="1025" width="1.375" style="23" customWidth="1"/>
    <col min="1026" max="1026" width="18.875" style="23" customWidth="1"/>
    <col min="1027" max="1062" width="6.875" style="23" customWidth="1"/>
    <col min="1063" max="1063" width="7.625" style="23" customWidth="1"/>
    <col min="1064" max="1064" width="1.5" style="23" customWidth="1"/>
    <col min="1065" max="1280" width="9" style="23"/>
    <col min="1281" max="1281" width="1.375" style="23" customWidth="1"/>
    <col min="1282" max="1282" width="18.875" style="23" customWidth="1"/>
    <col min="1283" max="1318" width="6.875" style="23" customWidth="1"/>
    <col min="1319" max="1319" width="7.625" style="23" customWidth="1"/>
    <col min="1320" max="1320" width="1.5" style="23" customWidth="1"/>
    <col min="1321" max="1536" width="9" style="23"/>
    <col min="1537" max="1537" width="1.375" style="23" customWidth="1"/>
    <col min="1538" max="1538" width="18.875" style="23" customWidth="1"/>
    <col min="1539" max="1574" width="6.875" style="23" customWidth="1"/>
    <col min="1575" max="1575" width="7.625" style="23" customWidth="1"/>
    <col min="1576" max="1576" width="1.5" style="23" customWidth="1"/>
    <col min="1577" max="1792" width="9" style="23"/>
    <col min="1793" max="1793" width="1.375" style="23" customWidth="1"/>
    <col min="1794" max="1794" width="18.875" style="23" customWidth="1"/>
    <col min="1795" max="1830" width="6.875" style="23" customWidth="1"/>
    <col min="1831" max="1831" width="7.625" style="23" customWidth="1"/>
    <col min="1832" max="1832" width="1.5" style="23" customWidth="1"/>
    <col min="1833" max="2048" width="9" style="23"/>
    <col min="2049" max="2049" width="1.375" style="23" customWidth="1"/>
    <col min="2050" max="2050" width="18.875" style="23" customWidth="1"/>
    <col min="2051" max="2086" width="6.875" style="23" customWidth="1"/>
    <col min="2087" max="2087" width="7.625" style="23" customWidth="1"/>
    <col min="2088" max="2088" width="1.5" style="23" customWidth="1"/>
    <col min="2089" max="2304" width="9" style="23"/>
    <col min="2305" max="2305" width="1.375" style="23" customWidth="1"/>
    <col min="2306" max="2306" width="18.875" style="23" customWidth="1"/>
    <col min="2307" max="2342" width="6.875" style="23" customWidth="1"/>
    <col min="2343" max="2343" width="7.625" style="23" customWidth="1"/>
    <col min="2344" max="2344" width="1.5" style="23" customWidth="1"/>
    <col min="2345" max="2560" width="9" style="23"/>
    <col min="2561" max="2561" width="1.375" style="23" customWidth="1"/>
    <col min="2562" max="2562" width="18.875" style="23" customWidth="1"/>
    <col min="2563" max="2598" width="6.875" style="23" customWidth="1"/>
    <col min="2599" max="2599" width="7.625" style="23" customWidth="1"/>
    <col min="2600" max="2600" width="1.5" style="23" customWidth="1"/>
    <col min="2601" max="2816" width="9" style="23"/>
    <col min="2817" max="2817" width="1.375" style="23" customWidth="1"/>
    <col min="2818" max="2818" width="18.875" style="23" customWidth="1"/>
    <col min="2819" max="2854" width="6.875" style="23" customWidth="1"/>
    <col min="2855" max="2855" width="7.625" style="23" customWidth="1"/>
    <col min="2856" max="2856" width="1.5" style="23" customWidth="1"/>
    <col min="2857" max="3072" width="9" style="23"/>
    <col min="3073" max="3073" width="1.375" style="23" customWidth="1"/>
    <col min="3074" max="3074" width="18.875" style="23" customWidth="1"/>
    <col min="3075" max="3110" width="6.875" style="23" customWidth="1"/>
    <col min="3111" max="3111" width="7.625" style="23" customWidth="1"/>
    <col min="3112" max="3112" width="1.5" style="23" customWidth="1"/>
    <col min="3113" max="3328" width="9" style="23"/>
    <col min="3329" max="3329" width="1.375" style="23" customWidth="1"/>
    <col min="3330" max="3330" width="18.875" style="23" customWidth="1"/>
    <col min="3331" max="3366" width="6.875" style="23" customWidth="1"/>
    <col min="3367" max="3367" width="7.625" style="23" customWidth="1"/>
    <col min="3368" max="3368" width="1.5" style="23" customWidth="1"/>
    <col min="3369" max="3584" width="9" style="23"/>
    <col min="3585" max="3585" width="1.375" style="23" customWidth="1"/>
    <col min="3586" max="3586" width="18.875" style="23" customWidth="1"/>
    <col min="3587" max="3622" width="6.875" style="23" customWidth="1"/>
    <col min="3623" max="3623" width="7.625" style="23" customWidth="1"/>
    <col min="3624" max="3624" width="1.5" style="23" customWidth="1"/>
    <col min="3625" max="3840" width="9" style="23"/>
    <col min="3841" max="3841" width="1.375" style="23" customWidth="1"/>
    <col min="3842" max="3842" width="18.875" style="23" customWidth="1"/>
    <col min="3843" max="3878" width="6.875" style="23" customWidth="1"/>
    <col min="3879" max="3879" width="7.625" style="23" customWidth="1"/>
    <col min="3880" max="3880" width="1.5" style="23" customWidth="1"/>
    <col min="3881" max="4096" width="9" style="23"/>
    <col min="4097" max="4097" width="1.375" style="23" customWidth="1"/>
    <col min="4098" max="4098" width="18.875" style="23" customWidth="1"/>
    <col min="4099" max="4134" width="6.875" style="23" customWidth="1"/>
    <col min="4135" max="4135" width="7.625" style="23" customWidth="1"/>
    <col min="4136" max="4136" width="1.5" style="23" customWidth="1"/>
    <col min="4137" max="4352" width="9" style="23"/>
    <col min="4353" max="4353" width="1.375" style="23" customWidth="1"/>
    <col min="4354" max="4354" width="18.875" style="23" customWidth="1"/>
    <col min="4355" max="4390" width="6.875" style="23" customWidth="1"/>
    <col min="4391" max="4391" width="7.625" style="23" customWidth="1"/>
    <col min="4392" max="4392" width="1.5" style="23" customWidth="1"/>
    <col min="4393" max="4608" width="9" style="23"/>
    <col min="4609" max="4609" width="1.375" style="23" customWidth="1"/>
    <col min="4610" max="4610" width="18.875" style="23" customWidth="1"/>
    <col min="4611" max="4646" width="6.875" style="23" customWidth="1"/>
    <col min="4647" max="4647" width="7.625" style="23" customWidth="1"/>
    <col min="4648" max="4648" width="1.5" style="23" customWidth="1"/>
    <col min="4649" max="4864" width="9" style="23"/>
    <col min="4865" max="4865" width="1.375" style="23" customWidth="1"/>
    <col min="4866" max="4866" width="18.875" style="23" customWidth="1"/>
    <col min="4867" max="4902" width="6.875" style="23" customWidth="1"/>
    <col min="4903" max="4903" width="7.625" style="23" customWidth="1"/>
    <col min="4904" max="4904" width="1.5" style="23" customWidth="1"/>
    <col min="4905" max="5120" width="9" style="23"/>
    <col min="5121" max="5121" width="1.375" style="23" customWidth="1"/>
    <col min="5122" max="5122" width="18.875" style="23" customWidth="1"/>
    <col min="5123" max="5158" width="6.875" style="23" customWidth="1"/>
    <col min="5159" max="5159" width="7.625" style="23" customWidth="1"/>
    <col min="5160" max="5160" width="1.5" style="23" customWidth="1"/>
    <col min="5161" max="5376" width="9" style="23"/>
    <col min="5377" max="5377" width="1.375" style="23" customWidth="1"/>
    <col min="5378" max="5378" width="18.875" style="23" customWidth="1"/>
    <col min="5379" max="5414" width="6.875" style="23" customWidth="1"/>
    <col min="5415" max="5415" width="7.625" style="23" customWidth="1"/>
    <col min="5416" max="5416" width="1.5" style="23" customWidth="1"/>
    <col min="5417" max="5632" width="9" style="23"/>
    <col min="5633" max="5633" width="1.375" style="23" customWidth="1"/>
    <col min="5634" max="5634" width="18.875" style="23" customWidth="1"/>
    <col min="5635" max="5670" width="6.875" style="23" customWidth="1"/>
    <col min="5671" max="5671" width="7.625" style="23" customWidth="1"/>
    <col min="5672" max="5672" width="1.5" style="23" customWidth="1"/>
    <col min="5673" max="5888" width="9" style="23"/>
    <col min="5889" max="5889" width="1.375" style="23" customWidth="1"/>
    <col min="5890" max="5890" width="18.875" style="23" customWidth="1"/>
    <col min="5891" max="5926" width="6.875" style="23" customWidth="1"/>
    <col min="5927" max="5927" width="7.625" style="23" customWidth="1"/>
    <col min="5928" max="5928" width="1.5" style="23" customWidth="1"/>
    <col min="5929" max="6144" width="9" style="23"/>
    <col min="6145" max="6145" width="1.375" style="23" customWidth="1"/>
    <col min="6146" max="6146" width="18.875" style="23" customWidth="1"/>
    <col min="6147" max="6182" width="6.875" style="23" customWidth="1"/>
    <col min="6183" max="6183" width="7.625" style="23" customWidth="1"/>
    <col min="6184" max="6184" width="1.5" style="23" customWidth="1"/>
    <col min="6185" max="6400" width="9" style="23"/>
    <col min="6401" max="6401" width="1.375" style="23" customWidth="1"/>
    <col min="6402" max="6402" width="18.875" style="23" customWidth="1"/>
    <col min="6403" max="6438" width="6.875" style="23" customWidth="1"/>
    <col min="6439" max="6439" width="7.625" style="23" customWidth="1"/>
    <col min="6440" max="6440" width="1.5" style="23" customWidth="1"/>
    <col min="6441" max="6656" width="9" style="23"/>
    <col min="6657" max="6657" width="1.375" style="23" customWidth="1"/>
    <col min="6658" max="6658" width="18.875" style="23" customWidth="1"/>
    <col min="6659" max="6694" width="6.875" style="23" customWidth="1"/>
    <col min="6695" max="6695" width="7.625" style="23" customWidth="1"/>
    <col min="6696" max="6696" width="1.5" style="23" customWidth="1"/>
    <col min="6697" max="6912" width="9" style="23"/>
    <col min="6913" max="6913" width="1.375" style="23" customWidth="1"/>
    <col min="6914" max="6914" width="18.875" style="23" customWidth="1"/>
    <col min="6915" max="6950" width="6.875" style="23" customWidth="1"/>
    <col min="6951" max="6951" width="7.625" style="23" customWidth="1"/>
    <col min="6952" max="6952" width="1.5" style="23" customWidth="1"/>
    <col min="6953" max="7168" width="9" style="23"/>
    <col min="7169" max="7169" width="1.375" style="23" customWidth="1"/>
    <col min="7170" max="7170" width="18.875" style="23" customWidth="1"/>
    <col min="7171" max="7206" width="6.875" style="23" customWidth="1"/>
    <col min="7207" max="7207" width="7.625" style="23" customWidth="1"/>
    <col min="7208" max="7208" width="1.5" style="23" customWidth="1"/>
    <col min="7209" max="7424" width="9" style="23"/>
    <col min="7425" max="7425" width="1.375" style="23" customWidth="1"/>
    <col min="7426" max="7426" width="18.875" style="23" customWidth="1"/>
    <col min="7427" max="7462" width="6.875" style="23" customWidth="1"/>
    <col min="7463" max="7463" width="7.625" style="23" customWidth="1"/>
    <col min="7464" max="7464" width="1.5" style="23" customWidth="1"/>
    <col min="7465" max="7680" width="9" style="23"/>
    <col min="7681" max="7681" width="1.375" style="23" customWidth="1"/>
    <col min="7682" max="7682" width="18.875" style="23" customWidth="1"/>
    <col min="7683" max="7718" width="6.875" style="23" customWidth="1"/>
    <col min="7719" max="7719" width="7.625" style="23" customWidth="1"/>
    <col min="7720" max="7720" width="1.5" style="23" customWidth="1"/>
    <col min="7721" max="7936" width="9" style="23"/>
    <col min="7937" max="7937" width="1.375" style="23" customWidth="1"/>
    <col min="7938" max="7938" width="18.875" style="23" customWidth="1"/>
    <col min="7939" max="7974" width="6.875" style="23" customWidth="1"/>
    <col min="7975" max="7975" width="7.625" style="23" customWidth="1"/>
    <col min="7976" max="7976" width="1.5" style="23" customWidth="1"/>
    <col min="7977" max="8192" width="9" style="23"/>
    <col min="8193" max="8193" width="1.375" style="23" customWidth="1"/>
    <col min="8194" max="8194" width="18.875" style="23" customWidth="1"/>
    <col min="8195" max="8230" width="6.875" style="23" customWidth="1"/>
    <col min="8231" max="8231" width="7.625" style="23" customWidth="1"/>
    <col min="8232" max="8232" width="1.5" style="23" customWidth="1"/>
    <col min="8233" max="8448" width="9" style="23"/>
    <col min="8449" max="8449" width="1.375" style="23" customWidth="1"/>
    <col min="8450" max="8450" width="18.875" style="23" customWidth="1"/>
    <col min="8451" max="8486" width="6.875" style="23" customWidth="1"/>
    <col min="8487" max="8487" width="7.625" style="23" customWidth="1"/>
    <col min="8488" max="8488" width="1.5" style="23" customWidth="1"/>
    <col min="8489" max="8704" width="9" style="23"/>
    <col min="8705" max="8705" width="1.375" style="23" customWidth="1"/>
    <col min="8706" max="8706" width="18.875" style="23" customWidth="1"/>
    <col min="8707" max="8742" width="6.875" style="23" customWidth="1"/>
    <col min="8743" max="8743" width="7.625" style="23" customWidth="1"/>
    <col min="8744" max="8744" width="1.5" style="23" customWidth="1"/>
    <col min="8745" max="8960" width="9" style="23"/>
    <col min="8961" max="8961" width="1.375" style="23" customWidth="1"/>
    <col min="8962" max="8962" width="18.875" style="23" customWidth="1"/>
    <col min="8963" max="8998" width="6.875" style="23" customWidth="1"/>
    <col min="8999" max="8999" width="7.625" style="23" customWidth="1"/>
    <col min="9000" max="9000" width="1.5" style="23" customWidth="1"/>
    <col min="9001" max="9216" width="9" style="23"/>
    <col min="9217" max="9217" width="1.375" style="23" customWidth="1"/>
    <col min="9218" max="9218" width="18.875" style="23" customWidth="1"/>
    <col min="9219" max="9254" width="6.875" style="23" customWidth="1"/>
    <col min="9255" max="9255" width="7.625" style="23" customWidth="1"/>
    <col min="9256" max="9256" width="1.5" style="23" customWidth="1"/>
    <col min="9257" max="9472" width="9" style="23"/>
    <col min="9473" max="9473" width="1.375" style="23" customWidth="1"/>
    <col min="9474" max="9474" width="18.875" style="23" customWidth="1"/>
    <col min="9475" max="9510" width="6.875" style="23" customWidth="1"/>
    <col min="9511" max="9511" width="7.625" style="23" customWidth="1"/>
    <col min="9512" max="9512" width="1.5" style="23" customWidth="1"/>
    <col min="9513" max="9728" width="9" style="23"/>
    <col min="9729" max="9729" width="1.375" style="23" customWidth="1"/>
    <col min="9730" max="9730" width="18.875" style="23" customWidth="1"/>
    <col min="9731" max="9766" width="6.875" style="23" customWidth="1"/>
    <col min="9767" max="9767" width="7.625" style="23" customWidth="1"/>
    <col min="9768" max="9768" width="1.5" style="23" customWidth="1"/>
    <col min="9769" max="9984" width="9" style="23"/>
    <col min="9985" max="9985" width="1.375" style="23" customWidth="1"/>
    <col min="9986" max="9986" width="18.875" style="23" customWidth="1"/>
    <col min="9987" max="10022" width="6.875" style="23" customWidth="1"/>
    <col min="10023" max="10023" width="7.625" style="23" customWidth="1"/>
    <col min="10024" max="10024" width="1.5" style="23" customWidth="1"/>
    <col min="10025" max="10240" width="9" style="23"/>
    <col min="10241" max="10241" width="1.375" style="23" customWidth="1"/>
    <col min="10242" max="10242" width="18.875" style="23" customWidth="1"/>
    <col min="10243" max="10278" width="6.875" style="23" customWidth="1"/>
    <col min="10279" max="10279" width="7.625" style="23" customWidth="1"/>
    <col min="10280" max="10280" width="1.5" style="23" customWidth="1"/>
    <col min="10281" max="10496" width="9" style="23"/>
    <col min="10497" max="10497" width="1.375" style="23" customWidth="1"/>
    <col min="10498" max="10498" width="18.875" style="23" customWidth="1"/>
    <col min="10499" max="10534" width="6.875" style="23" customWidth="1"/>
    <col min="10535" max="10535" width="7.625" style="23" customWidth="1"/>
    <col min="10536" max="10536" width="1.5" style="23" customWidth="1"/>
    <col min="10537" max="10752" width="9" style="23"/>
    <col min="10753" max="10753" width="1.375" style="23" customWidth="1"/>
    <col min="10754" max="10754" width="18.875" style="23" customWidth="1"/>
    <col min="10755" max="10790" width="6.875" style="23" customWidth="1"/>
    <col min="10791" max="10791" width="7.625" style="23" customWidth="1"/>
    <col min="10792" max="10792" width="1.5" style="23" customWidth="1"/>
    <col min="10793" max="11008" width="9" style="23"/>
    <col min="11009" max="11009" width="1.375" style="23" customWidth="1"/>
    <col min="11010" max="11010" width="18.875" style="23" customWidth="1"/>
    <col min="11011" max="11046" width="6.875" style="23" customWidth="1"/>
    <col min="11047" max="11047" width="7.625" style="23" customWidth="1"/>
    <col min="11048" max="11048" width="1.5" style="23" customWidth="1"/>
    <col min="11049" max="11264" width="9" style="23"/>
    <col min="11265" max="11265" width="1.375" style="23" customWidth="1"/>
    <col min="11266" max="11266" width="18.875" style="23" customWidth="1"/>
    <col min="11267" max="11302" width="6.875" style="23" customWidth="1"/>
    <col min="11303" max="11303" width="7.625" style="23" customWidth="1"/>
    <col min="11304" max="11304" width="1.5" style="23" customWidth="1"/>
    <col min="11305" max="11520" width="9" style="23"/>
    <col min="11521" max="11521" width="1.375" style="23" customWidth="1"/>
    <col min="11522" max="11522" width="18.875" style="23" customWidth="1"/>
    <col min="11523" max="11558" width="6.875" style="23" customWidth="1"/>
    <col min="11559" max="11559" width="7.625" style="23" customWidth="1"/>
    <col min="11560" max="11560" width="1.5" style="23" customWidth="1"/>
    <col min="11561" max="11776" width="9" style="23"/>
    <col min="11777" max="11777" width="1.375" style="23" customWidth="1"/>
    <col min="11778" max="11778" width="18.875" style="23" customWidth="1"/>
    <col min="11779" max="11814" width="6.875" style="23" customWidth="1"/>
    <col min="11815" max="11815" width="7.625" style="23" customWidth="1"/>
    <col min="11816" max="11816" width="1.5" style="23" customWidth="1"/>
    <col min="11817" max="12032" width="9" style="23"/>
    <col min="12033" max="12033" width="1.375" style="23" customWidth="1"/>
    <col min="12034" max="12034" width="18.875" style="23" customWidth="1"/>
    <col min="12035" max="12070" width="6.875" style="23" customWidth="1"/>
    <col min="12071" max="12071" width="7.625" style="23" customWidth="1"/>
    <col min="12072" max="12072" width="1.5" style="23" customWidth="1"/>
    <col min="12073" max="12288" width="9" style="23"/>
    <col min="12289" max="12289" width="1.375" style="23" customWidth="1"/>
    <col min="12290" max="12290" width="18.875" style="23" customWidth="1"/>
    <col min="12291" max="12326" width="6.875" style="23" customWidth="1"/>
    <col min="12327" max="12327" width="7.625" style="23" customWidth="1"/>
    <col min="12328" max="12328" width="1.5" style="23" customWidth="1"/>
    <col min="12329" max="12544" width="9" style="23"/>
    <col min="12545" max="12545" width="1.375" style="23" customWidth="1"/>
    <col min="12546" max="12546" width="18.875" style="23" customWidth="1"/>
    <col min="12547" max="12582" width="6.875" style="23" customWidth="1"/>
    <col min="12583" max="12583" width="7.625" style="23" customWidth="1"/>
    <col min="12584" max="12584" width="1.5" style="23" customWidth="1"/>
    <col min="12585" max="12800" width="9" style="23"/>
    <col min="12801" max="12801" width="1.375" style="23" customWidth="1"/>
    <col min="12802" max="12802" width="18.875" style="23" customWidth="1"/>
    <col min="12803" max="12838" width="6.875" style="23" customWidth="1"/>
    <col min="12839" max="12839" width="7.625" style="23" customWidth="1"/>
    <col min="12840" max="12840" width="1.5" style="23" customWidth="1"/>
    <col min="12841" max="13056" width="9" style="23"/>
    <col min="13057" max="13057" width="1.375" style="23" customWidth="1"/>
    <col min="13058" max="13058" width="18.875" style="23" customWidth="1"/>
    <col min="13059" max="13094" width="6.875" style="23" customWidth="1"/>
    <col min="13095" max="13095" width="7.625" style="23" customWidth="1"/>
    <col min="13096" max="13096" width="1.5" style="23" customWidth="1"/>
    <col min="13097" max="13312" width="9" style="23"/>
    <col min="13313" max="13313" width="1.375" style="23" customWidth="1"/>
    <col min="13314" max="13314" width="18.875" style="23" customWidth="1"/>
    <col min="13315" max="13350" width="6.875" style="23" customWidth="1"/>
    <col min="13351" max="13351" width="7.625" style="23" customWidth="1"/>
    <col min="13352" max="13352" width="1.5" style="23" customWidth="1"/>
    <col min="13353" max="13568" width="9" style="23"/>
    <col min="13569" max="13569" width="1.375" style="23" customWidth="1"/>
    <col min="13570" max="13570" width="18.875" style="23" customWidth="1"/>
    <col min="13571" max="13606" width="6.875" style="23" customWidth="1"/>
    <col min="13607" max="13607" width="7.625" style="23" customWidth="1"/>
    <col min="13608" max="13608" width="1.5" style="23" customWidth="1"/>
    <col min="13609" max="13824" width="9" style="23"/>
    <col min="13825" max="13825" width="1.375" style="23" customWidth="1"/>
    <col min="13826" max="13826" width="18.875" style="23" customWidth="1"/>
    <col min="13827" max="13862" width="6.875" style="23" customWidth="1"/>
    <col min="13863" max="13863" width="7.625" style="23" customWidth="1"/>
    <col min="13864" max="13864" width="1.5" style="23" customWidth="1"/>
    <col min="13865" max="14080" width="9" style="23"/>
    <col min="14081" max="14081" width="1.375" style="23" customWidth="1"/>
    <col min="14082" max="14082" width="18.875" style="23" customWidth="1"/>
    <col min="14083" max="14118" width="6.875" style="23" customWidth="1"/>
    <col min="14119" max="14119" width="7.625" style="23" customWidth="1"/>
    <col min="14120" max="14120" width="1.5" style="23" customWidth="1"/>
    <col min="14121" max="14336" width="9" style="23"/>
    <col min="14337" max="14337" width="1.375" style="23" customWidth="1"/>
    <col min="14338" max="14338" width="18.875" style="23" customWidth="1"/>
    <col min="14339" max="14374" width="6.875" style="23" customWidth="1"/>
    <col min="14375" max="14375" width="7.625" style="23" customWidth="1"/>
    <col min="14376" max="14376" width="1.5" style="23" customWidth="1"/>
    <col min="14377" max="14592" width="9" style="23"/>
    <col min="14593" max="14593" width="1.375" style="23" customWidth="1"/>
    <col min="14594" max="14594" width="18.875" style="23" customWidth="1"/>
    <col min="14595" max="14630" width="6.875" style="23" customWidth="1"/>
    <col min="14631" max="14631" width="7.625" style="23" customWidth="1"/>
    <col min="14632" max="14632" width="1.5" style="23" customWidth="1"/>
    <col min="14633" max="14848" width="9" style="23"/>
    <col min="14849" max="14849" width="1.375" style="23" customWidth="1"/>
    <col min="14850" max="14850" width="18.875" style="23" customWidth="1"/>
    <col min="14851" max="14886" width="6.875" style="23" customWidth="1"/>
    <col min="14887" max="14887" width="7.625" style="23" customWidth="1"/>
    <col min="14888" max="14888" width="1.5" style="23" customWidth="1"/>
    <col min="14889" max="15104" width="9" style="23"/>
    <col min="15105" max="15105" width="1.375" style="23" customWidth="1"/>
    <col min="15106" max="15106" width="18.875" style="23" customWidth="1"/>
    <col min="15107" max="15142" width="6.875" style="23" customWidth="1"/>
    <col min="15143" max="15143" width="7.625" style="23" customWidth="1"/>
    <col min="15144" max="15144" width="1.5" style="23" customWidth="1"/>
    <col min="15145" max="15360" width="9" style="23"/>
    <col min="15361" max="15361" width="1.375" style="23" customWidth="1"/>
    <col min="15362" max="15362" width="18.875" style="23" customWidth="1"/>
    <col min="15363" max="15398" width="6.875" style="23" customWidth="1"/>
    <col min="15399" max="15399" width="7.625" style="23" customWidth="1"/>
    <col min="15400" max="15400" width="1.5" style="23" customWidth="1"/>
    <col min="15401" max="15616" width="9" style="23"/>
    <col min="15617" max="15617" width="1.375" style="23" customWidth="1"/>
    <col min="15618" max="15618" width="18.875" style="23" customWidth="1"/>
    <col min="15619" max="15654" width="6.875" style="23" customWidth="1"/>
    <col min="15655" max="15655" width="7.625" style="23" customWidth="1"/>
    <col min="15656" max="15656" width="1.5" style="23" customWidth="1"/>
    <col min="15657" max="15872" width="9" style="23"/>
    <col min="15873" max="15873" width="1.375" style="23" customWidth="1"/>
    <col min="15874" max="15874" width="18.875" style="23" customWidth="1"/>
    <col min="15875" max="15910" width="6.875" style="23" customWidth="1"/>
    <col min="15911" max="15911" width="7.625" style="23" customWidth="1"/>
    <col min="15912" max="15912" width="1.5" style="23" customWidth="1"/>
    <col min="15913" max="16128" width="9" style="23"/>
    <col min="16129" max="16129" width="1.375" style="23" customWidth="1"/>
    <col min="16130" max="16130" width="18.875" style="23" customWidth="1"/>
    <col min="16131" max="16166" width="6.875" style="23" customWidth="1"/>
    <col min="16167" max="16167" width="7.625" style="23" customWidth="1"/>
    <col min="16168" max="16168" width="1.5" style="23" customWidth="1"/>
    <col min="16169" max="16384" width="9" style="23"/>
  </cols>
  <sheetData>
    <row r="1" spans="2:44" ht="30" customHeight="1">
      <c r="B1" s="577"/>
      <c r="C1" s="577"/>
      <c r="D1" s="577"/>
      <c r="E1" s="577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  <c r="S1" s="552"/>
      <c r="T1" s="552"/>
      <c r="U1" s="552"/>
      <c r="V1" s="552"/>
      <c r="W1" s="552"/>
      <c r="X1" s="552"/>
      <c r="Y1" s="552"/>
      <c r="Z1" s="552"/>
      <c r="AA1" s="552"/>
      <c r="AB1" s="552"/>
      <c r="AC1" s="552"/>
      <c r="AD1" s="552"/>
      <c r="AE1" s="552"/>
      <c r="AF1" s="552"/>
      <c r="AG1" s="552"/>
      <c r="AH1" s="552"/>
      <c r="AI1" s="552"/>
      <c r="AJ1" s="552"/>
      <c r="AK1" s="552"/>
      <c r="AL1" s="552"/>
      <c r="AM1" s="552"/>
    </row>
    <row r="2" spans="2:44" ht="30" customHeight="1">
      <c r="B2" s="732" t="s">
        <v>603</v>
      </c>
      <c r="C2" s="732"/>
      <c r="D2" s="732"/>
      <c r="E2" s="732"/>
      <c r="F2" s="732"/>
      <c r="G2" s="732"/>
      <c r="H2" s="732" t="s">
        <v>378</v>
      </c>
      <c r="I2" s="732"/>
      <c r="J2" s="732"/>
      <c r="K2" s="552"/>
      <c r="L2" s="552"/>
      <c r="M2" s="552"/>
      <c r="N2" s="552"/>
      <c r="O2" s="552"/>
      <c r="P2" s="552"/>
      <c r="Q2" s="552"/>
      <c r="R2" s="552"/>
      <c r="S2" s="552"/>
      <c r="T2" s="552"/>
      <c r="U2" s="552"/>
      <c r="V2" s="552"/>
      <c r="W2" s="552"/>
      <c r="X2" s="552"/>
      <c r="Y2" s="552"/>
      <c r="Z2" s="552"/>
      <c r="AA2" s="552"/>
      <c r="AB2" s="552"/>
      <c r="AC2" s="552"/>
      <c r="AD2" s="552"/>
      <c r="AE2" s="552"/>
      <c r="AF2" s="552"/>
      <c r="AG2" s="552"/>
      <c r="AH2" s="552"/>
      <c r="AI2" s="552"/>
      <c r="AJ2" s="552"/>
      <c r="AK2" s="552"/>
      <c r="AL2" s="552"/>
      <c r="AM2" s="552"/>
    </row>
    <row r="3" spans="2:44" ht="30" customHeight="1">
      <c r="B3" s="733" t="s">
        <v>276</v>
      </c>
      <c r="C3" s="734"/>
      <c r="D3" s="734"/>
      <c r="E3" s="734"/>
      <c r="F3" s="734"/>
      <c r="G3" s="735"/>
      <c r="H3" s="739">
        <v>7</v>
      </c>
      <c r="I3" s="740"/>
      <c r="J3" s="741"/>
      <c r="K3" s="552"/>
      <c r="L3" s="552"/>
      <c r="M3" s="552"/>
      <c r="N3" s="552"/>
      <c r="O3" s="552"/>
      <c r="P3" s="552"/>
      <c r="Q3" s="552"/>
      <c r="R3" s="552"/>
      <c r="S3" s="552"/>
      <c r="T3" s="552"/>
      <c r="U3" s="552"/>
      <c r="V3" s="552"/>
      <c r="W3" s="552"/>
      <c r="X3" s="552"/>
      <c r="Y3" s="552"/>
      <c r="Z3" s="552"/>
      <c r="AA3" s="552"/>
      <c r="AB3" s="552"/>
      <c r="AC3" s="552"/>
      <c r="AD3" s="552"/>
      <c r="AE3" s="552"/>
      <c r="AF3" s="552"/>
      <c r="AG3" s="552"/>
      <c r="AH3" s="552"/>
      <c r="AI3" s="552"/>
      <c r="AJ3" s="552"/>
      <c r="AK3" s="552"/>
      <c r="AL3" s="552"/>
      <c r="AM3" s="552"/>
    </row>
    <row r="4" spans="2:44" ht="30" customHeight="1">
      <c r="B4" s="733" t="s">
        <v>252</v>
      </c>
      <c r="C4" s="734"/>
      <c r="D4" s="734"/>
      <c r="E4" s="734"/>
      <c r="F4" s="734"/>
      <c r="G4" s="735"/>
      <c r="H4" s="739">
        <v>15</v>
      </c>
      <c r="I4" s="740"/>
      <c r="J4" s="741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552"/>
      <c r="Z4" s="552"/>
      <c r="AA4" s="552"/>
      <c r="AB4" s="552"/>
      <c r="AC4" s="552"/>
      <c r="AD4" s="552"/>
      <c r="AE4" s="552"/>
      <c r="AF4" s="552"/>
      <c r="AG4" s="552"/>
      <c r="AH4" s="552"/>
      <c r="AI4" s="552"/>
      <c r="AJ4" s="552"/>
      <c r="AK4" s="552"/>
      <c r="AL4" s="552"/>
      <c r="AM4" s="552"/>
    </row>
    <row r="5" spans="2:44" ht="30" customHeight="1">
      <c r="B5" s="733" t="s">
        <v>253</v>
      </c>
      <c r="C5" s="734"/>
      <c r="D5" s="734"/>
      <c r="E5" s="734"/>
      <c r="F5" s="734"/>
      <c r="G5" s="735"/>
      <c r="H5" s="739">
        <v>10</v>
      </c>
      <c r="I5" s="740"/>
      <c r="J5" s="741"/>
      <c r="K5" s="552"/>
      <c r="L5" s="552"/>
      <c r="M5" s="552"/>
      <c r="N5" s="552"/>
      <c r="O5" s="552"/>
      <c r="P5" s="552"/>
      <c r="Q5" s="552"/>
      <c r="R5" s="552"/>
      <c r="S5" s="552"/>
      <c r="T5" s="552"/>
      <c r="U5" s="552"/>
      <c r="V5" s="552"/>
      <c r="W5" s="552"/>
      <c r="X5" s="552"/>
      <c r="Y5" s="552"/>
      <c r="Z5" s="552"/>
      <c r="AA5" s="552"/>
      <c r="AB5" s="552"/>
      <c r="AC5" s="552"/>
      <c r="AD5" s="552"/>
      <c r="AE5" s="552"/>
      <c r="AF5" s="552"/>
      <c r="AG5" s="552"/>
      <c r="AH5" s="552"/>
      <c r="AI5" s="552"/>
      <c r="AJ5" s="552"/>
      <c r="AK5" s="552"/>
      <c r="AL5" s="552"/>
      <c r="AM5" s="552"/>
    </row>
    <row r="6" spans="2:44" ht="30" customHeight="1">
      <c r="B6" s="733" t="s">
        <v>379</v>
      </c>
      <c r="C6" s="734"/>
      <c r="D6" s="734"/>
      <c r="E6" s="734"/>
      <c r="F6" s="734"/>
      <c r="G6" s="734"/>
      <c r="H6" s="736">
        <v>8</v>
      </c>
      <c r="I6" s="737"/>
      <c r="J6" s="738"/>
      <c r="K6" s="552"/>
      <c r="L6" s="552"/>
      <c r="M6" s="552"/>
      <c r="N6" s="552"/>
      <c r="O6" s="552"/>
      <c r="P6" s="552"/>
      <c r="Q6" s="552"/>
      <c r="R6" s="552"/>
      <c r="S6" s="552"/>
      <c r="T6" s="552"/>
      <c r="U6" s="552"/>
      <c r="V6" s="552"/>
      <c r="W6" s="552"/>
      <c r="X6" s="552"/>
      <c r="Y6" s="552"/>
      <c r="Z6" s="552"/>
      <c r="AA6" s="552"/>
      <c r="AB6" s="552"/>
      <c r="AC6" s="552"/>
      <c r="AD6" s="552"/>
      <c r="AE6" s="552"/>
      <c r="AF6" s="552"/>
      <c r="AG6" s="552"/>
      <c r="AH6" s="552"/>
      <c r="AI6" s="552"/>
      <c r="AJ6" s="552"/>
      <c r="AK6" s="552"/>
      <c r="AL6" s="552"/>
      <c r="AM6" s="552"/>
    </row>
    <row r="7" spans="2:44" ht="30" customHeight="1" thickBot="1">
      <c r="B7" s="552"/>
      <c r="C7" s="552"/>
      <c r="D7" s="552"/>
      <c r="E7" s="552"/>
      <c r="F7" s="552"/>
      <c r="G7" s="552"/>
      <c r="H7" s="552"/>
      <c r="I7" s="552"/>
      <c r="J7" s="552"/>
      <c r="K7" s="552"/>
      <c r="L7" s="552"/>
      <c r="M7" s="552"/>
      <c r="N7" s="552"/>
      <c r="O7" s="552"/>
      <c r="P7" s="552"/>
      <c r="Q7" s="552"/>
      <c r="R7" s="552"/>
      <c r="S7" s="552"/>
      <c r="T7" s="552"/>
      <c r="U7" s="552"/>
      <c r="V7" s="552"/>
      <c r="W7" s="552"/>
      <c r="X7" s="552"/>
      <c r="Y7" s="552"/>
      <c r="Z7" s="552"/>
      <c r="AA7" s="552"/>
      <c r="AB7" s="552"/>
      <c r="AC7" s="552"/>
      <c r="AD7" s="552"/>
      <c r="AE7" s="552"/>
      <c r="AF7" s="552"/>
      <c r="AG7" s="552"/>
      <c r="AH7" s="552"/>
      <c r="AI7" s="552"/>
      <c r="AJ7" s="552"/>
      <c r="AK7" s="552"/>
      <c r="AL7" s="552"/>
      <c r="AM7" s="552"/>
    </row>
    <row r="8" spans="2:44" ht="30" customHeight="1">
      <c r="B8" s="553"/>
      <c r="C8" s="554"/>
      <c r="D8" s="555" t="s">
        <v>345</v>
      </c>
      <c r="E8" s="556"/>
      <c r="F8" s="554"/>
      <c r="G8" s="555" t="s">
        <v>346</v>
      </c>
      <c r="H8" s="556"/>
      <c r="I8" s="557" t="s">
        <v>347</v>
      </c>
      <c r="J8" s="555" t="s">
        <v>348</v>
      </c>
      <c r="K8" s="556"/>
      <c r="L8" s="554"/>
      <c r="M8" s="555" t="s">
        <v>349</v>
      </c>
      <c r="N8" s="556"/>
      <c r="O8" s="554"/>
      <c r="P8" s="555" t="s">
        <v>350</v>
      </c>
      <c r="Q8" s="556"/>
      <c r="R8" s="554"/>
      <c r="S8" s="555" t="s">
        <v>351</v>
      </c>
      <c r="T8" s="556"/>
      <c r="U8" s="554"/>
      <c r="V8" s="555" t="s">
        <v>352</v>
      </c>
      <c r="W8" s="556"/>
      <c r="X8" s="554"/>
      <c r="Y8" s="555" t="s">
        <v>353</v>
      </c>
      <c r="Z8" s="556"/>
      <c r="AA8" s="554"/>
      <c r="AB8" s="555" t="s">
        <v>354</v>
      </c>
      <c r="AC8" s="556"/>
      <c r="AD8" s="557" t="s">
        <v>347</v>
      </c>
      <c r="AE8" s="556">
        <v>10</v>
      </c>
      <c r="AF8" s="556"/>
      <c r="AG8" s="554"/>
      <c r="AH8" s="556">
        <v>11</v>
      </c>
      <c r="AI8" s="556"/>
      <c r="AJ8" s="554"/>
      <c r="AK8" s="556">
        <v>12</v>
      </c>
      <c r="AL8" s="556"/>
      <c r="AM8" s="558" t="s">
        <v>30</v>
      </c>
      <c r="AO8" s="443"/>
    </row>
    <row r="9" spans="2:44" ht="30" customHeight="1">
      <c r="B9" s="559" t="s">
        <v>355</v>
      </c>
      <c r="C9" s="560" t="s">
        <v>31</v>
      </c>
      <c r="D9" s="561" t="s">
        <v>32</v>
      </c>
      <c r="E9" s="561" t="s">
        <v>33</v>
      </c>
      <c r="F9" s="560" t="s">
        <v>31</v>
      </c>
      <c r="G9" s="561" t="s">
        <v>32</v>
      </c>
      <c r="H9" s="561" t="s">
        <v>33</v>
      </c>
      <c r="I9" s="560" t="s">
        <v>31</v>
      </c>
      <c r="J9" s="561" t="s">
        <v>32</v>
      </c>
      <c r="K9" s="561" t="s">
        <v>33</v>
      </c>
      <c r="L9" s="560" t="s">
        <v>31</v>
      </c>
      <c r="M9" s="561" t="s">
        <v>32</v>
      </c>
      <c r="N9" s="561" t="s">
        <v>33</v>
      </c>
      <c r="O9" s="560" t="s">
        <v>31</v>
      </c>
      <c r="P9" s="561" t="s">
        <v>32</v>
      </c>
      <c r="Q9" s="561" t="s">
        <v>33</v>
      </c>
      <c r="R9" s="560" t="s">
        <v>31</v>
      </c>
      <c r="S9" s="562" t="s">
        <v>32</v>
      </c>
      <c r="T9" s="562" t="s">
        <v>33</v>
      </c>
      <c r="U9" s="560" t="s">
        <v>31</v>
      </c>
      <c r="V9" s="561" t="s">
        <v>32</v>
      </c>
      <c r="W9" s="561" t="s">
        <v>33</v>
      </c>
      <c r="X9" s="560" t="s">
        <v>31</v>
      </c>
      <c r="Y9" s="561" t="s">
        <v>32</v>
      </c>
      <c r="Z9" s="561" t="s">
        <v>33</v>
      </c>
      <c r="AA9" s="560" t="s">
        <v>31</v>
      </c>
      <c r="AB9" s="561" t="s">
        <v>32</v>
      </c>
      <c r="AC9" s="561" t="s">
        <v>33</v>
      </c>
      <c r="AD9" s="560" t="s">
        <v>31</v>
      </c>
      <c r="AE9" s="561" t="s">
        <v>32</v>
      </c>
      <c r="AF9" s="561" t="s">
        <v>33</v>
      </c>
      <c r="AG9" s="560" t="s">
        <v>31</v>
      </c>
      <c r="AH9" s="561" t="s">
        <v>32</v>
      </c>
      <c r="AI9" s="561" t="s">
        <v>33</v>
      </c>
      <c r="AJ9" s="560" t="s">
        <v>31</v>
      </c>
      <c r="AK9" s="561" t="s">
        <v>32</v>
      </c>
      <c r="AL9" s="561" t="s">
        <v>33</v>
      </c>
      <c r="AM9" s="563"/>
      <c r="AO9" s="454" t="s">
        <v>355</v>
      </c>
    </row>
    <row r="10" spans="2:44" ht="30" customHeight="1">
      <c r="B10" s="564" t="str">
        <f>+B3</f>
        <v>あけみず</v>
      </c>
      <c r="C10" s="566">
        <f>+'５-１あけみず時間'!B18*$H$3*10</f>
        <v>245</v>
      </c>
      <c r="D10" s="567">
        <f>+'５-１あけみず時間'!C18*$H$3*10</f>
        <v>245</v>
      </c>
      <c r="E10" s="567">
        <f>+'５-１あけみず時間'!D18*$H$3*10</f>
        <v>252</v>
      </c>
      <c r="F10" s="568">
        <f>+'５-１あけみず時間'!E18*$H$3*10</f>
        <v>252</v>
      </c>
      <c r="G10" s="567">
        <f>+'５-１あけみず時間'!F18*$H$3*10</f>
        <v>252</v>
      </c>
      <c r="H10" s="567">
        <f>+'５-１あけみず時間'!G18*$H$3*10</f>
        <v>252</v>
      </c>
      <c r="I10" s="568">
        <f>+'５-１あけみず時間'!H18*$H$3*10</f>
        <v>252</v>
      </c>
      <c r="J10" s="567">
        <f>+'５-１あけみず時間'!I18*$H$3*10</f>
        <v>252</v>
      </c>
      <c r="K10" s="567">
        <f>+'５-１あけみず時間'!J18*$H$3*10</f>
        <v>286.99999999999994</v>
      </c>
      <c r="L10" s="568">
        <f>+'５-１あけみず時間'!K18*$H$3*10</f>
        <v>122.5</v>
      </c>
      <c r="M10" s="567">
        <f>+'５-１あけみず時間'!L18*$H$3*10</f>
        <v>332.5</v>
      </c>
      <c r="N10" s="567">
        <f>+'５-１あけみず時間'!M18*$H$3*10</f>
        <v>381.5</v>
      </c>
      <c r="O10" s="568">
        <f>+'５-１あけみず時間'!N18*$H$3*10</f>
        <v>430.50000000000006</v>
      </c>
      <c r="P10" s="567">
        <f>+'５-１あけみず時間'!O18*$H$3*10</f>
        <v>577.5</v>
      </c>
      <c r="Q10" s="567">
        <f>+'５-１あけみず時間'!P18*$H$3*10</f>
        <v>577.5</v>
      </c>
      <c r="R10" s="568">
        <f>+'５-１あけみず時間'!Q18*$H$3*10</f>
        <v>612.5</v>
      </c>
      <c r="S10" s="567">
        <f>+'５-１あけみず時間'!R18*$H$3*10</f>
        <v>577.5</v>
      </c>
      <c r="T10" s="567">
        <f>+'５-１あけみず時間'!S18*$H$3*10</f>
        <v>766.49999999999989</v>
      </c>
      <c r="U10" s="568">
        <f>+'５-１あけみず時間'!T18*$H$3*10</f>
        <v>731.49999999999989</v>
      </c>
      <c r="V10" s="567">
        <f>+'５-１あけみず時間'!U18*$H$3*10</f>
        <v>325.50000000000006</v>
      </c>
      <c r="W10" s="567">
        <f>+'５-１あけみず時間'!V18*$H$3*10</f>
        <v>101.5</v>
      </c>
      <c r="X10" s="568">
        <f>+'５-１あけみず時間'!W18*$H$3*10</f>
        <v>2901.5000000000005</v>
      </c>
      <c r="Y10" s="567">
        <f>+'５-１あけみず時間'!X18*$H$3*10</f>
        <v>3255</v>
      </c>
      <c r="Z10" s="567">
        <f>+'５-１あけみず時間'!Y18*$H$3*10</f>
        <v>0</v>
      </c>
      <c r="AA10" s="568">
        <f>+'５-１あけみず時間'!Z18*$H$3*10</f>
        <v>52.5</v>
      </c>
      <c r="AB10" s="567">
        <f>+'５-１あけみず時間'!AA18*$H$3*10</f>
        <v>0</v>
      </c>
      <c r="AC10" s="567">
        <f>+'５-１あけみず時間'!AB18*$H$3*10</f>
        <v>0</v>
      </c>
      <c r="AD10" s="568">
        <f>+'５-１あけみず時間'!AC18*$H$3*10</f>
        <v>70</v>
      </c>
      <c r="AE10" s="567">
        <f>+'５-１あけみず時間'!AD18*$H$3*10</f>
        <v>87.5</v>
      </c>
      <c r="AF10" s="567">
        <f>+'５-１あけみず時間'!AE18*$H$3*10</f>
        <v>133</v>
      </c>
      <c r="AG10" s="568">
        <f>+'５-１あけみず時間'!AF18*$H$3*10</f>
        <v>140</v>
      </c>
      <c r="AH10" s="567">
        <f>+'５-１あけみず時間'!AG18*$H$3*10</f>
        <v>70</v>
      </c>
      <c r="AI10" s="567">
        <f>+'５-１あけみず時間'!AH18*$H$3*10</f>
        <v>70</v>
      </c>
      <c r="AJ10" s="568">
        <f>+'５-１あけみず時間'!AI18*$H$3*10</f>
        <v>280</v>
      </c>
      <c r="AK10" s="567">
        <f>+'５-１あけみず時間'!AJ18*$H$3*10</f>
        <v>280</v>
      </c>
      <c r="AL10" s="567">
        <f>+'５-１あけみず時間'!AK18*$H$3*10</f>
        <v>315</v>
      </c>
      <c r="AM10" s="569">
        <f>SUM(C10:AL10)</f>
        <v>15480.5</v>
      </c>
      <c r="AO10" s="441">
        <f>+AO3</f>
        <v>0</v>
      </c>
    </row>
    <row r="11" spans="2:44" ht="30" customHeight="1">
      <c r="B11" s="564" t="str">
        <f t="shared" ref="B11:B13" si="0">+B4</f>
        <v>幸水</v>
      </c>
      <c r="C11" s="566">
        <f>+'５-２幸水時間'!B18*$H$4*10</f>
        <v>525</v>
      </c>
      <c r="D11" s="567">
        <f>+'５-２幸水時間'!C18*$H$4*10</f>
        <v>525</v>
      </c>
      <c r="E11" s="567">
        <f>+'５-２幸水時間'!D18*$H$4*10</f>
        <v>540</v>
      </c>
      <c r="F11" s="568">
        <f>+'５-２幸水時間'!E18*$H$4*10</f>
        <v>540</v>
      </c>
      <c r="G11" s="567">
        <f>+'５-２幸水時間'!F18*$H$4*10</f>
        <v>540</v>
      </c>
      <c r="H11" s="567">
        <f>+'５-２幸水時間'!G18*$H$4*10</f>
        <v>540</v>
      </c>
      <c r="I11" s="568">
        <f>+'５-２幸水時間'!H18*$H$4*10</f>
        <v>540</v>
      </c>
      <c r="J11" s="567">
        <f>+'５-２幸水時間'!I18*$H$4*10</f>
        <v>540</v>
      </c>
      <c r="K11" s="567">
        <f>+'５-２幸水時間'!J18*$H$4*10</f>
        <v>614.99999999999989</v>
      </c>
      <c r="L11" s="568">
        <f>+'５-２幸水時間'!K18*$H$4*10</f>
        <v>262.5</v>
      </c>
      <c r="M11" s="567">
        <f>+'５-２幸水時間'!L18*$H$4*10</f>
        <v>712.5</v>
      </c>
      <c r="N11" s="567">
        <f>+'５-２幸水時間'!M18*$H$4*10</f>
        <v>817.5</v>
      </c>
      <c r="O11" s="568">
        <f>+'５-２幸水時間'!N18*$H$4*10</f>
        <v>922.5</v>
      </c>
      <c r="P11" s="567">
        <f>+'５-２幸水時間'!O18*$H$4*10</f>
        <v>1237.5</v>
      </c>
      <c r="Q11" s="567">
        <f>+'５-２幸水時間'!P18*$H$4*10</f>
        <v>1237.5</v>
      </c>
      <c r="R11" s="568">
        <f>+'５-２幸水時間'!Q18*$H$4*10</f>
        <v>1312.5</v>
      </c>
      <c r="S11" s="567">
        <f>+'５-２幸水時間'!R18*$H$4*10</f>
        <v>1237.5</v>
      </c>
      <c r="T11" s="567">
        <f>+'５-２幸水時間'!S18*$H$4*10</f>
        <v>1642.5</v>
      </c>
      <c r="U11" s="568">
        <f>+'５-２幸水時間'!T18*$H$4*10</f>
        <v>1567.5</v>
      </c>
      <c r="V11" s="567">
        <f>+'５-２幸水時間'!U18*$H$4*10</f>
        <v>697.5</v>
      </c>
      <c r="W11" s="567">
        <f>+'５-２幸水時間'!V18*$H$4*10</f>
        <v>217.5</v>
      </c>
      <c r="X11" s="568">
        <f>+'５-２幸水時間'!W18*$H$4*10</f>
        <v>217.5</v>
      </c>
      <c r="Y11" s="567">
        <f>+'５-２幸水時間'!X18*$H$4*10</f>
        <v>225</v>
      </c>
      <c r="Z11" s="567">
        <f>+'５-２幸水時間'!Y18*$H$4*10</f>
        <v>5250</v>
      </c>
      <c r="AA11" s="568">
        <f>+'５-２幸水時間'!Z18*$H$4*10</f>
        <v>6112.5</v>
      </c>
      <c r="AB11" s="567">
        <f>+'５-２幸水時間'!AA18*$H$4*10</f>
        <v>1500</v>
      </c>
      <c r="AC11" s="567">
        <f>+'５-２幸水時間'!AB18*$H$4*10</f>
        <v>0</v>
      </c>
      <c r="AD11" s="568">
        <f>+'５-２幸水時間'!AC18*$H$4*10</f>
        <v>150</v>
      </c>
      <c r="AE11" s="567">
        <f>+'５-２幸水時間'!AD18*$H$4*10</f>
        <v>187.5</v>
      </c>
      <c r="AF11" s="567">
        <f>+'５-２幸水時間'!AE18*$H$4*10</f>
        <v>285</v>
      </c>
      <c r="AG11" s="568">
        <f>+'５-２幸水時間'!AF18*$H$4*10</f>
        <v>300</v>
      </c>
      <c r="AH11" s="567">
        <f>+'５-２幸水時間'!AG18*$H$4*10</f>
        <v>150</v>
      </c>
      <c r="AI11" s="567">
        <f>+'５-２幸水時間'!AH18*$H$4*10</f>
        <v>150</v>
      </c>
      <c r="AJ11" s="568">
        <f>+'５-２幸水時間'!AI18*$H$4*10</f>
        <v>600</v>
      </c>
      <c r="AK11" s="567">
        <f>+'５-２幸水時間'!AJ18*$H$4*10</f>
        <v>600</v>
      </c>
      <c r="AL11" s="567">
        <f>+'５-２幸水時間'!AK18*$H$4*10</f>
        <v>675</v>
      </c>
      <c r="AM11" s="569">
        <f>SUM(C11:AL11)</f>
        <v>33172.5</v>
      </c>
      <c r="AO11" s="441">
        <f t="shared" ref="AO11:AO13" si="1">+AO4</f>
        <v>0</v>
      </c>
    </row>
    <row r="12" spans="2:44" ht="30" customHeight="1">
      <c r="B12" s="564" t="str">
        <f t="shared" si="0"/>
        <v>豊水</v>
      </c>
      <c r="C12" s="566">
        <f>+'５-３豊水時間'!B19*$H$5*10</f>
        <v>350</v>
      </c>
      <c r="D12" s="567">
        <f>+'５-３豊水時間'!C19*$H$5*10</f>
        <v>350</v>
      </c>
      <c r="E12" s="567">
        <f>+'５-３豊水時間'!D19*$H$5*10</f>
        <v>360</v>
      </c>
      <c r="F12" s="568">
        <f>+'５-３豊水時間'!E19*$H$5*10</f>
        <v>360</v>
      </c>
      <c r="G12" s="567">
        <f>+'５-３豊水時間'!F19*$H$5*10</f>
        <v>360</v>
      </c>
      <c r="H12" s="567">
        <f>+'５-３豊水時間'!G19*$H$5*10</f>
        <v>360</v>
      </c>
      <c r="I12" s="568">
        <f>+'５-３豊水時間'!H19*$H$5*10</f>
        <v>360</v>
      </c>
      <c r="J12" s="567">
        <f>+'５-３豊水時間'!I19*$H$5*10</f>
        <v>360</v>
      </c>
      <c r="K12" s="567">
        <f>+'５-３豊水時間'!J19*$H$5*10</f>
        <v>410</v>
      </c>
      <c r="L12" s="568">
        <f>+'５-３豊水時間'!K19*$H$5*10</f>
        <v>175</v>
      </c>
      <c r="M12" s="567">
        <f>+'５-３豊水時間'!L19*$H$5*10</f>
        <v>475</v>
      </c>
      <c r="N12" s="567">
        <f>+'５-３豊水時間'!M19*$H$5*10</f>
        <v>545</v>
      </c>
      <c r="O12" s="568">
        <f>+'５-３豊水時間'!N19*$H$5*10</f>
        <v>615</v>
      </c>
      <c r="P12" s="567">
        <f>+'５-３豊水時間'!O19*$H$5*10</f>
        <v>825</v>
      </c>
      <c r="Q12" s="567">
        <f>+'５-３豊水時間'!P19*$H$5*10</f>
        <v>825</v>
      </c>
      <c r="R12" s="568">
        <f>+'５-３豊水時間'!Q19*$H$5*10</f>
        <v>875</v>
      </c>
      <c r="S12" s="567">
        <f>+'５-３豊水時間'!R19*$H$5*10</f>
        <v>825</v>
      </c>
      <c r="T12" s="567">
        <f>+'５-３豊水時間'!S19*$H$5*10</f>
        <v>1095</v>
      </c>
      <c r="U12" s="568">
        <f>+'５-３豊水時間'!T19*$H$5*10</f>
        <v>1045</v>
      </c>
      <c r="V12" s="567">
        <f>+'５-３豊水時間'!U19*$H$5*10</f>
        <v>465</v>
      </c>
      <c r="W12" s="567">
        <f>+'５-３豊水時間'!V19*$H$5*10</f>
        <v>145</v>
      </c>
      <c r="X12" s="568">
        <f>+'５-３豊水時間'!W19*$H$5*10</f>
        <v>145</v>
      </c>
      <c r="Y12" s="567">
        <f>+'５-３豊水時間'!X19*$H$5*10</f>
        <v>150</v>
      </c>
      <c r="Z12" s="567">
        <f>+'５-３豊水時間'!Y19*$H$5*10</f>
        <v>0</v>
      </c>
      <c r="AA12" s="568">
        <f>+'５-３豊水時間'!Z19*$H$5*10</f>
        <v>75</v>
      </c>
      <c r="AB12" s="567">
        <f>+'５-３豊水時間'!AA19*$H$5*10</f>
        <v>3000</v>
      </c>
      <c r="AC12" s="567">
        <f>+'５-３豊水時間'!AB19*$H$5*10</f>
        <v>4000</v>
      </c>
      <c r="AD12" s="568">
        <f>+'５-３豊水時間'!AC19*$H$5*10</f>
        <v>1600</v>
      </c>
      <c r="AE12" s="567">
        <f>+'５-３豊水時間'!AD19*$H$5*10</f>
        <v>125</v>
      </c>
      <c r="AF12" s="567">
        <f>+'５-３豊水時間'!AE19*$H$5*10</f>
        <v>190</v>
      </c>
      <c r="AG12" s="568">
        <f>+'５-３豊水時間'!AF19*$H$5*10</f>
        <v>200</v>
      </c>
      <c r="AH12" s="567">
        <f>+'５-３豊水時間'!AG19*$H$5*10</f>
        <v>100</v>
      </c>
      <c r="AI12" s="567">
        <f>+'５-３豊水時間'!AH19*$H$5*10</f>
        <v>100</v>
      </c>
      <c r="AJ12" s="568">
        <f>+'５-３豊水時間'!AI19*$H$5*10</f>
        <v>400</v>
      </c>
      <c r="AK12" s="567">
        <f>+'５-３豊水時間'!AJ19*$H$5*10</f>
        <v>400</v>
      </c>
      <c r="AL12" s="567">
        <f>+'５-３豊水時間'!AK19*$H$5*10</f>
        <v>450</v>
      </c>
      <c r="AM12" s="569">
        <f t="shared" ref="AM12:AM13" si="2">SUM(C12:AL12)</f>
        <v>22115</v>
      </c>
      <c r="AO12" s="441">
        <f t="shared" si="1"/>
        <v>0</v>
      </c>
    </row>
    <row r="13" spans="2:44" ht="30" customHeight="1">
      <c r="B13" s="564" t="str">
        <f t="shared" si="0"/>
        <v>あきづき</v>
      </c>
      <c r="C13" s="566">
        <f>+'５-４あきづき時間'!B19*$H$6*10</f>
        <v>280</v>
      </c>
      <c r="D13" s="567">
        <f>+'５-４あきづき時間'!C19*$H$6*10</f>
        <v>280</v>
      </c>
      <c r="E13" s="567">
        <f>+'５-４あきづき時間'!D19*$H$6*10</f>
        <v>288</v>
      </c>
      <c r="F13" s="568">
        <f>+'５-４あきづき時間'!E19*$H$6*10</f>
        <v>288</v>
      </c>
      <c r="G13" s="567">
        <f>+'５-４あきづき時間'!F19*$H$6*10</f>
        <v>288</v>
      </c>
      <c r="H13" s="567">
        <f>+'５-４あきづき時間'!G19*$H$6*10</f>
        <v>288</v>
      </c>
      <c r="I13" s="568">
        <f>+'５-４あきづき時間'!H19*$H$6*10</f>
        <v>288</v>
      </c>
      <c r="J13" s="567">
        <f>+'５-４あきづき時間'!I19*$H$6*10</f>
        <v>288</v>
      </c>
      <c r="K13" s="567">
        <f>+'５-４あきづき時間'!J19*$H$6*10</f>
        <v>328</v>
      </c>
      <c r="L13" s="568">
        <f>+'５-４あきづき時間'!K19*$H$6*10</f>
        <v>140</v>
      </c>
      <c r="M13" s="567">
        <f>+'５-４あきづき時間'!L19*$H$6*10</f>
        <v>380</v>
      </c>
      <c r="N13" s="567">
        <f>+'５-４あきづき時間'!M19*$H$6*10</f>
        <v>436</v>
      </c>
      <c r="O13" s="568">
        <f>+'５-４あきづき時間'!N19*$H$6*10</f>
        <v>492</v>
      </c>
      <c r="P13" s="567">
        <f>+'５-４あきづき時間'!O19*$H$6*10</f>
        <v>660</v>
      </c>
      <c r="Q13" s="567">
        <f>+'５-４あきづき時間'!P19*$H$6*10</f>
        <v>660</v>
      </c>
      <c r="R13" s="568">
        <f>+'５-４あきづき時間'!Q19*$H$6*10</f>
        <v>700</v>
      </c>
      <c r="S13" s="567">
        <f>+'５-４あきづき時間'!R19*$H$6*10</f>
        <v>660</v>
      </c>
      <c r="T13" s="567">
        <f>+'５-４あきづき時間'!S19*$H$6*10</f>
        <v>876</v>
      </c>
      <c r="U13" s="568">
        <f>+'５-４あきづき時間'!T19*$H$6*10</f>
        <v>836</v>
      </c>
      <c r="V13" s="567">
        <f>+'５-４あきづき時間'!U19*$H$6*10</f>
        <v>372</v>
      </c>
      <c r="W13" s="567">
        <f>+'５-４あきづき時間'!V19*$H$6*10</f>
        <v>116</v>
      </c>
      <c r="X13" s="568">
        <f>+'５-４あきづき時間'!W19*$H$6*10</f>
        <v>116</v>
      </c>
      <c r="Y13" s="567">
        <f>+'５-４あきづき時間'!X19*$H$6*10</f>
        <v>120</v>
      </c>
      <c r="Z13" s="567">
        <f>+'５-４あきづき時間'!Y19*$H$6*10</f>
        <v>0</v>
      </c>
      <c r="AA13" s="568">
        <f>+'５-４あきづき時間'!Z19*$H$6*10</f>
        <v>60</v>
      </c>
      <c r="AB13" s="567">
        <f>+'５-４あきづき時間'!AA19*$H$6*10</f>
        <v>0</v>
      </c>
      <c r="AC13" s="567">
        <f>+'５-４あきづき時間'!AB19*$H$6*10</f>
        <v>1200</v>
      </c>
      <c r="AD13" s="568">
        <f>+'５-４あきづき時間'!AC19*$H$6*10</f>
        <v>2480</v>
      </c>
      <c r="AE13" s="567">
        <f>+'５-４あきづき時間'!AD19*$H$6*10</f>
        <v>2500</v>
      </c>
      <c r="AF13" s="567">
        <f>+'５-４あきづき時間'!AE19*$H$6*10</f>
        <v>952</v>
      </c>
      <c r="AG13" s="568">
        <f>+'５-４あきづき時間'!AF19*$H$6*10</f>
        <v>160</v>
      </c>
      <c r="AH13" s="567">
        <f>+'５-４あきづき時間'!AG19*$H$6*10</f>
        <v>80</v>
      </c>
      <c r="AI13" s="567">
        <f>+'５-４あきづき時間'!AH19*$H$6*10</f>
        <v>80</v>
      </c>
      <c r="AJ13" s="568">
        <f>+'５-４あきづき時間'!AI19*$H$6*10</f>
        <v>320</v>
      </c>
      <c r="AK13" s="567">
        <f>+'５-４あきづき時間'!AJ19*$H$6*10</f>
        <v>320</v>
      </c>
      <c r="AL13" s="567">
        <f>+'５-４あきづき時間'!AK19*$H$6*10</f>
        <v>360</v>
      </c>
      <c r="AM13" s="569">
        <f t="shared" si="2"/>
        <v>17692</v>
      </c>
      <c r="AO13" s="441">
        <f t="shared" si="1"/>
        <v>0</v>
      </c>
    </row>
    <row r="14" spans="2:44" ht="30" customHeight="1">
      <c r="B14" s="564" t="s">
        <v>380</v>
      </c>
      <c r="C14" s="566">
        <f t="shared" ref="C14:AM14" si="3">SUM(C10:C13)</f>
        <v>1400</v>
      </c>
      <c r="D14" s="567">
        <f t="shared" si="3"/>
        <v>1400</v>
      </c>
      <c r="E14" s="567">
        <f t="shared" si="3"/>
        <v>1440</v>
      </c>
      <c r="F14" s="568">
        <f t="shared" si="3"/>
        <v>1440</v>
      </c>
      <c r="G14" s="567">
        <f t="shared" si="3"/>
        <v>1440</v>
      </c>
      <c r="H14" s="567">
        <f t="shared" si="3"/>
        <v>1440</v>
      </c>
      <c r="I14" s="568">
        <f t="shared" si="3"/>
        <v>1440</v>
      </c>
      <c r="J14" s="567">
        <f t="shared" si="3"/>
        <v>1440</v>
      </c>
      <c r="K14" s="567">
        <f t="shared" si="3"/>
        <v>1639.9999999999998</v>
      </c>
      <c r="L14" s="568">
        <f t="shared" si="3"/>
        <v>700</v>
      </c>
      <c r="M14" s="567">
        <f t="shared" si="3"/>
        <v>1900</v>
      </c>
      <c r="N14" s="567">
        <f t="shared" si="3"/>
        <v>2180</v>
      </c>
      <c r="O14" s="568">
        <f t="shared" si="3"/>
        <v>2460</v>
      </c>
      <c r="P14" s="567">
        <f t="shared" si="3"/>
        <v>3300</v>
      </c>
      <c r="Q14" s="567">
        <f t="shared" si="3"/>
        <v>3300</v>
      </c>
      <c r="R14" s="568">
        <f t="shared" si="3"/>
        <v>3500</v>
      </c>
      <c r="S14" s="567">
        <f t="shared" si="3"/>
        <v>3300</v>
      </c>
      <c r="T14" s="567">
        <f t="shared" si="3"/>
        <v>4380</v>
      </c>
      <c r="U14" s="568">
        <f t="shared" si="3"/>
        <v>4180</v>
      </c>
      <c r="V14" s="567">
        <f t="shared" si="3"/>
        <v>1860</v>
      </c>
      <c r="W14" s="567">
        <f t="shared" si="3"/>
        <v>580</v>
      </c>
      <c r="X14" s="568">
        <f t="shared" si="3"/>
        <v>3380.0000000000005</v>
      </c>
      <c r="Y14" s="567">
        <f t="shared" si="3"/>
        <v>3750</v>
      </c>
      <c r="Z14" s="567">
        <f t="shared" si="3"/>
        <v>5250</v>
      </c>
      <c r="AA14" s="568">
        <f t="shared" si="3"/>
        <v>6300</v>
      </c>
      <c r="AB14" s="567">
        <f t="shared" si="3"/>
        <v>4500</v>
      </c>
      <c r="AC14" s="567">
        <f t="shared" si="3"/>
        <v>5200</v>
      </c>
      <c r="AD14" s="568">
        <f t="shared" si="3"/>
        <v>4300</v>
      </c>
      <c r="AE14" s="567">
        <f t="shared" si="3"/>
        <v>2900</v>
      </c>
      <c r="AF14" s="567">
        <f t="shared" si="3"/>
        <v>1560</v>
      </c>
      <c r="AG14" s="568">
        <f t="shared" si="3"/>
        <v>800</v>
      </c>
      <c r="AH14" s="567">
        <f t="shared" si="3"/>
        <v>400</v>
      </c>
      <c r="AI14" s="567">
        <f t="shared" si="3"/>
        <v>400</v>
      </c>
      <c r="AJ14" s="568">
        <f t="shared" si="3"/>
        <v>1600</v>
      </c>
      <c r="AK14" s="567">
        <f t="shared" si="3"/>
        <v>1600</v>
      </c>
      <c r="AL14" s="567">
        <f t="shared" si="3"/>
        <v>1800</v>
      </c>
      <c r="AM14" s="569">
        <f t="shared" si="3"/>
        <v>88460</v>
      </c>
      <c r="AO14" s="441" t="s">
        <v>22</v>
      </c>
    </row>
    <row r="15" spans="2:44" ht="30" customHeight="1">
      <c r="B15" s="564" t="s">
        <v>381</v>
      </c>
      <c r="C15" s="570">
        <v>800</v>
      </c>
      <c r="D15" s="571">
        <v>1000</v>
      </c>
      <c r="E15" s="571">
        <f t="shared" ref="E15:AC15" si="4">IF(E14&gt;=1280,1280,E14)</f>
        <v>1280</v>
      </c>
      <c r="F15" s="572">
        <f t="shared" si="4"/>
        <v>1280</v>
      </c>
      <c r="G15" s="571">
        <f t="shared" si="4"/>
        <v>1280</v>
      </c>
      <c r="H15" s="571">
        <f t="shared" si="4"/>
        <v>1280</v>
      </c>
      <c r="I15" s="572">
        <f t="shared" si="4"/>
        <v>1280</v>
      </c>
      <c r="J15" s="571">
        <f t="shared" si="4"/>
        <v>1280</v>
      </c>
      <c r="K15" s="571">
        <f t="shared" si="4"/>
        <v>1280</v>
      </c>
      <c r="L15" s="572">
        <f t="shared" si="4"/>
        <v>700</v>
      </c>
      <c r="M15" s="571">
        <f t="shared" si="4"/>
        <v>1280</v>
      </c>
      <c r="N15" s="571">
        <f t="shared" si="4"/>
        <v>1280</v>
      </c>
      <c r="O15" s="572">
        <f t="shared" si="4"/>
        <v>1280</v>
      </c>
      <c r="P15" s="571">
        <f t="shared" si="4"/>
        <v>1280</v>
      </c>
      <c r="Q15" s="571">
        <f t="shared" si="4"/>
        <v>1280</v>
      </c>
      <c r="R15" s="572">
        <f t="shared" si="4"/>
        <v>1280</v>
      </c>
      <c r="S15" s="571">
        <f t="shared" si="4"/>
        <v>1280</v>
      </c>
      <c r="T15" s="571">
        <f t="shared" si="4"/>
        <v>1280</v>
      </c>
      <c r="U15" s="572">
        <f t="shared" si="4"/>
        <v>1280</v>
      </c>
      <c r="V15" s="571">
        <f t="shared" si="4"/>
        <v>1280</v>
      </c>
      <c r="W15" s="571">
        <f t="shared" si="4"/>
        <v>580</v>
      </c>
      <c r="X15" s="572">
        <f t="shared" si="4"/>
        <v>1280</v>
      </c>
      <c r="Y15" s="571">
        <f t="shared" si="4"/>
        <v>1280</v>
      </c>
      <c r="Z15" s="571">
        <f t="shared" si="4"/>
        <v>1280</v>
      </c>
      <c r="AA15" s="572">
        <f t="shared" si="4"/>
        <v>1280</v>
      </c>
      <c r="AB15" s="571">
        <f t="shared" si="4"/>
        <v>1280</v>
      </c>
      <c r="AC15" s="571">
        <f t="shared" si="4"/>
        <v>1280</v>
      </c>
      <c r="AD15" s="572">
        <v>1000</v>
      </c>
      <c r="AE15" s="571">
        <v>1000</v>
      </c>
      <c r="AF15" s="571">
        <v>1000</v>
      </c>
      <c r="AG15" s="572">
        <f>IF(AG14&gt;=1280,1280,AG14)</f>
        <v>800</v>
      </c>
      <c r="AH15" s="571">
        <f>IF(AH14&gt;=1280,1280,AH14)</f>
        <v>400</v>
      </c>
      <c r="AI15" s="571">
        <f>IF(AI14&gt;=1280,1280,AI14)</f>
        <v>400</v>
      </c>
      <c r="AJ15" s="572">
        <v>1000</v>
      </c>
      <c r="AK15" s="571">
        <v>1000</v>
      </c>
      <c r="AL15" s="571">
        <v>800</v>
      </c>
      <c r="AM15" s="569">
        <f>SUM(C15:AL15)</f>
        <v>39920</v>
      </c>
      <c r="AO15" s="441" t="s">
        <v>381</v>
      </c>
      <c r="AQ15" s="23" t="s">
        <v>469</v>
      </c>
      <c r="AR15" s="23">
        <f>+AM15/20</f>
        <v>1996</v>
      </c>
    </row>
    <row r="16" spans="2:44" ht="30" customHeight="1">
      <c r="B16" s="564" t="s">
        <v>383</v>
      </c>
      <c r="C16" s="566">
        <f t="shared" ref="C16:AL16" si="5">+C14-C15</f>
        <v>600</v>
      </c>
      <c r="D16" s="567">
        <f t="shared" si="5"/>
        <v>400</v>
      </c>
      <c r="E16" s="567">
        <f t="shared" si="5"/>
        <v>160</v>
      </c>
      <c r="F16" s="568">
        <f t="shared" si="5"/>
        <v>160</v>
      </c>
      <c r="G16" s="567">
        <f t="shared" si="5"/>
        <v>160</v>
      </c>
      <c r="H16" s="567">
        <f t="shared" si="5"/>
        <v>160</v>
      </c>
      <c r="I16" s="568">
        <f t="shared" si="5"/>
        <v>160</v>
      </c>
      <c r="J16" s="567">
        <f t="shared" si="5"/>
        <v>160</v>
      </c>
      <c r="K16" s="567">
        <f t="shared" si="5"/>
        <v>359.99999999999977</v>
      </c>
      <c r="L16" s="568">
        <f t="shared" si="5"/>
        <v>0</v>
      </c>
      <c r="M16" s="567">
        <f t="shared" si="5"/>
        <v>620</v>
      </c>
      <c r="N16" s="567">
        <f t="shared" si="5"/>
        <v>900</v>
      </c>
      <c r="O16" s="568">
        <f t="shared" si="5"/>
        <v>1180</v>
      </c>
      <c r="P16" s="567">
        <f t="shared" si="5"/>
        <v>2020</v>
      </c>
      <c r="Q16" s="567">
        <f t="shared" si="5"/>
        <v>2020</v>
      </c>
      <c r="R16" s="568">
        <f t="shared" si="5"/>
        <v>2220</v>
      </c>
      <c r="S16" s="567">
        <f t="shared" si="5"/>
        <v>2020</v>
      </c>
      <c r="T16" s="567">
        <f t="shared" si="5"/>
        <v>3100</v>
      </c>
      <c r="U16" s="568">
        <f t="shared" si="5"/>
        <v>2900</v>
      </c>
      <c r="V16" s="567">
        <f t="shared" si="5"/>
        <v>580</v>
      </c>
      <c r="W16" s="567">
        <f t="shared" si="5"/>
        <v>0</v>
      </c>
      <c r="X16" s="568">
        <f t="shared" si="5"/>
        <v>2100.0000000000005</v>
      </c>
      <c r="Y16" s="567">
        <f t="shared" si="5"/>
        <v>2470</v>
      </c>
      <c r="Z16" s="567">
        <f t="shared" si="5"/>
        <v>3970</v>
      </c>
      <c r="AA16" s="568">
        <f t="shared" si="5"/>
        <v>5020</v>
      </c>
      <c r="AB16" s="567">
        <f t="shared" si="5"/>
        <v>3220</v>
      </c>
      <c r="AC16" s="567">
        <f t="shared" si="5"/>
        <v>3920</v>
      </c>
      <c r="AD16" s="568">
        <f t="shared" si="5"/>
        <v>3300</v>
      </c>
      <c r="AE16" s="567">
        <f t="shared" si="5"/>
        <v>1900</v>
      </c>
      <c r="AF16" s="567">
        <f t="shared" si="5"/>
        <v>560</v>
      </c>
      <c r="AG16" s="568">
        <f t="shared" si="5"/>
        <v>0</v>
      </c>
      <c r="AH16" s="567">
        <f t="shared" si="5"/>
        <v>0</v>
      </c>
      <c r="AI16" s="567">
        <f t="shared" si="5"/>
        <v>0</v>
      </c>
      <c r="AJ16" s="568">
        <f t="shared" si="5"/>
        <v>600</v>
      </c>
      <c r="AK16" s="567">
        <f t="shared" si="5"/>
        <v>600</v>
      </c>
      <c r="AL16" s="567">
        <f t="shared" si="5"/>
        <v>1000</v>
      </c>
      <c r="AM16" s="569">
        <f>SUM(C16:AL16)</f>
        <v>48540</v>
      </c>
      <c r="AO16" s="441" t="s">
        <v>383</v>
      </c>
    </row>
    <row r="17" spans="2:44" ht="30" customHeight="1">
      <c r="B17" s="564" t="s">
        <v>382</v>
      </c>
      <c r="C17" s="566">
        <f t="shared" ref="C17:AL17" si="6">IF(C16&gt;=1280,1280,C16)</f>
        <v>600</v>
      </c>
      <c r="D17" s="567">
        <f t="shared" si="6"/>
        <v>400</v>
      </c>
      <c r="E17" s="567">
        <f t="shared" si="6"/>
        <v>160</v>
      </c>
      <c r="F17" s="568">
        <f t="shared" si="6"/>
        <v>160</v>
      </c>
      <c r="G17" s="567">
        <f t="shared" si="6"/>
        <v>160</v>
      </c>
      <c r="H17" s="567">
        <f t="shared" si="6"/>
        <v>160</v>
      </c>
      <c r="I17" s="568">
        <f t="shared" si="6"/>
        <v>160</v>
      </c>
      <c r="J17" s="567">
        <f t="shared" si="6"/>
        <v>160</v>
      </c>
      <c r="K17" s="567">
        <f t="shared" si="6"/>
        <v>359.99999999999977</v>
      </c>
      <c r="L17" s="568">
        <f t="shared" si="6"/>
        <v>0</v>
      </c>
      <c r="M17" s="567">
        <f t="shared" si="6"/>
        <v>620</v>
      </c>
      <c r="N17" s="567">
        <f t="shared" si="6"/>
        <v>900</v>
      </c>
      <c r="O17" s="568">
        <f t="shared" si="6"/>
        <v>1180</v>
      </c>
      <c r="P17" s="567">
        <f t="shared" si="6"/>
        <v>1280</v>
      </c>
      <c r="Q17" s="567">
        <f t="shared" si="6"/>
        <v>1280</v>
      </c>
      <c r="R17" s="568">
        <f t="shared" si="6"/>
        <v>1280</v>
      </c>
      <c r="S17" s="567">
        <f t="shared" si="6"/>
        <v>1280</v>
      </c>
      <c r="T17" s="567">
        <f t="shared" si="6"/>
        <v>1280</v>
      </c>
      <c r="U17" s="568">
        <f t="shared" si="6"/>
        <v>1280</v>
      </c>
      <c r="V17" s="567">
        <f t="shared" si="6"/>
        <v>580</v>
      </c>
      <c r="W17" s="567">
        <f t="shared" si="6"/>
        <v>0</v>
      </c>
      <c r="X17" s="568">
        <f t="shared" si="6"/>
        <v>1280</v>
      </c>
      <c r="Y17" s="567">
        <f t="shared" si="6"/>
        <v>1280</v>
      </c>
      <c r="Z17" s="567">
        <f t="shared" si="6"/>
        <v>1280</v>
      </c>
      <c r="AA17" s="568">
        <f t="shared" si="6"/>
        <v>1280</v>
      </c>
      <c r="AB17" s="567">
        <f t="shared" si="6"/>
        <v>1280</v>
      </c>
      <c r="AC17" s="567">
        <f t="shared" si="6"/>
        <v>1280</v>
      </c>
      <c r="AD17" s="568">
        <f t="shared" si="6"/>
        <v>1280</v>
      </c>
      <c r="AE17" s="567">
        <f t="shared" si="6"/>
        <v>1280</v>
      </c>
      <c r="AF17" s="567">
        <f t="shared" si="6"/>
        <v>560</v>
      </c>
      <c r="AG17" s="568">
        <f t="shared" si="6"/>
        <v>0</v>
      </c>
      <c r="AH17" s="567">
        <f t="shared" si="6"/>
        <v>0</v>
      </c>
      <c r="AI17" s="567">
        <f t="shared" si="6"/>
        <v>0</v>
      </c>
      <c r="AJ17" s="568">
        <f t="shared" si="6"/>
        <v>600</v>
      </c>
      <c r="AK17" s="567">
        <f t="shared" si="6"/>
        <v>600</v>
      </c>
      <c r="AL17" s="567">
        <f t="shared" si="6"/>
        <v>1000</v>
      </c>
      <c r="AM17" s="569">
        <f>SUM(C17:AL17)</f>
        <v>26280</v>
      </c>
      <c r="AO17" s="441" t="s">
        <v>382</v>
      </c>
      <c r="AR17" s="23">
        <f>+AM17/20</f>
        <v>1314</v>
      </c>
    </row>
    <row r="18" spans="2:44" ht="30" customHeight="1">
      <c r="B18" s="564" t="s">
        <v>384</v>
      </c>
      <c r="C18" s="566">
        <f t="shared" ref="C18:AL18" si="7">+C16-C17</f>
        <v>0</v>
      </c>
      <c r="D18" s="567">
        <f t="shared" si="7"/>
        <v>0</v>
      </c>
      <c r="E18" s="567">
        <f t="shared" si="7"/>
        <v>0</v>
      </c>
      <c r="F18" s="568">
        <f t="shared" si="7"/>
        <v>0</v>
      </c>
      <c r="G18" s="567">
        <f t="shared" si="7"/>
        <v>0</v>
      </c>
      <c r="H18" s="567">
        <f t="shared" si="7"/>
        <v>0</v>
      </c>
      <c r="I18" s="568">
        <f t="shared" si="7"/>
        <v>0</v>
      </c>
      <c r="J18" s="567">
        <f t="shared" si="7"/>
        <v>0</v>
      </c>
      <c r="K18" s="567">
        <f t="shared" si="7"/>
        <v>0</v>
      </c>
      <c r="L18" s="568">
        <f t="shared" si="7"/>
        <v>0</v>
      </c>
      <c r="M18" s="567">
        <f t="shared" si="7"/>
        <v>0</v>
      </c>
      <c r="N18" s="567">
        <f t="shared" si="7"/>
        <v>0</v>
      </c>
      <c r="O18" s="568">
        <f t="shared" si="7"/>
        <v>0</v>
      </c>
      <c r="P18" s="567">
        <f t="shared" si="7"/>
        <v>740</v>
      </c>
      <c r="Q18" s="567">
        <f t="shared" si="7"/>
        <v>740</v>
      </c>
      <c r="R18" s="568">
        <f t="shared" si="7"/>
        <v>940</v>
      </c>
      <c r="S18" s="567">
        <f t="shared" si="7"/>
        <v>740</v>
      </c>
      <c r="T18" s="567">
        <f t="shared" si="7"/>
        <v>1820</v>
      </c>
      <c r="U18" s="568">
        <f t="shared" si="7"/>
        <v>1620</v>
      </c>
      <c r="V18" s="567">
        <f t="shared" si="7"/>
        <v>0</v>
      </c>
      <c r="W18" s="567">
        <f t="shared" si="7"/>
        <v>0</v>
      </c>
      <c r="X18" s="568">
        <f t="shared" si="7"/>
        <v>820.00000000000045</v>
      </c>
      <c r="Y18" s="567">
        <f t="shared" si="7"/>
        <v>1190</v>
      </c>
      <c r="Z18" s="567">
        <f t="shared" si="7"/>
        <v>2690</v>
      </c>
      <c r="AA18" s="568">
        <f t="shared" si="7"/>
        <v>3740</v>
      </c>
      <c r="AB18" s="567">
        <f t="shared" si="7"/>
        <v>1940</v>
      </c>
      <c r="AC18" s="567">
        <f t="shared" si="7"/>
        <v>2640</v>
      </c>
      <c r="AD18" s="568">
        <f t="shared" si="7"/>
        <v>2020</v>
      </c>
      <c r="AE18" s="567">
        <f t="shared" si="7"/>
        <v>620</v>
      </c>
      <c r="AF18" s="567">
        <f t="shared" si="7"/>
        <v>0</v>
      </c>
      <c r="AG18" s="568">
        <f t="shared" si="7"/>
        <v>0</v>
      </c>
      <c r="AH18" s="567">
        <f t="shared" si="7"/>
        <v>0</v>
      </c>
      <c r="AI18" s="567">
        <f t="shared" si="7"/>
        <v>0</v>
      </c>
      <c r="AJ18" s="568">
        <f t="shared" si="7"/>
        <v>0</v>
      </c>
      <c r="AK18" s="567">
        <f t="shared" si="7"/>
        <v>0</v>
      </c>
      <c r="AL18" s="567">
        <f t="shared" si="7"/>
        <v>0</v>
      </c>
      <c r="AM18" s="569">
        <f>SUM(C18:AL18)</f>
        <v>22260</v>
      </c>
      <c r="AO18" s="441" t="s">
        <v>384</v>
      </c>
    </row>
    <row r="19" spans="2:44" ht="30" customHeight="1" thickBot="1">
      <c r="B19" s="565" t="s">
        <v>385</v>
      </c>
      <c r="C19" s="573">
        <f t="shared" ref="C19:AL19" si="8">+C18/64</f>
        <v>0</v>
      </c>
      <c r="D19" s="574">
        <f t="shared" si="8"/>
        <v>0</v>
      </c>
      <c r="E19" s="574">
        <f t="shared" si="8"/>
        <v>0</v>
      </c>
      <c r="F19" s="575">
        <f t="shared" si="8"/>
        <v>0</v>
      </c>
      <c r="G19" s="574">
        <f t="shared" si="8"/>
        <v>0</v>
      </c>
      <c r="H19" s="574">
        <f t="shared" si="8"/>
        <v>0</v>
      </c>
      <c r="I19" s="575">
        <f t="shared" si="8"/>
        <v>0</v>
      </c>
      <c r="J19" s="574">
        <f t="shared" si="8"/>
        <v>0</v>
      </c>
      <c r="K19" s="574">
        <f t="shared" si="8"/>
        <v>0</v>
      </c>
      <c r="L19" s="575">
        <f t="shared" si="8"/>
        <v>0</v>
      </c>
      <c r="M19" s="574">
        <f t="shared" si="8"/>
        <v>0</v>
      </c>
      <c r="N19" s="574">
        <f t="shared" si="8"/>
        <v>0</v>
      </c>
      <c r="O19" s="575">
        <f t="shared" si="8"/>
        <v>0</v>
      </c>
      <c r="P19" s="574">
        <f t="shared" si="8"/>
        <v>11.5625</v>
      </c>
      <c r="Q19" s="574">
        <f t="shared" si="8"/>
        <v>11.5625</v>
      </c>
      <c r="R19" s="575">
        <f t="shared" si="8"/>
        <v>14.6875</v>
      </c>
      <c r="S19" s="574">
        <f t="shared" si="8"/>
        <v>11.5625</v>
      </c>
      <c r="T19" s="574">
        <f t="shared" si="8"/>
        <v>28.4375</v>
      </c>
      <c r="U19" s="575">
        <f t="shared" si="8"/>
        <v>25.3125</v>
      </c>
      <c r="V19" s="574">
        <f t="shared" si="8"/>
        <v>0</v>
      </c>
      <c r="W19" s="574">
        <f t="shared" si="8"/>
        <v>0</v>
      </c>
      <c r="X19" s="575">
        <f t="shared" si="8"/>
        <v>12.812500000000007</v>
      </c>
      <c r="Y19" s="574">
        <f t="shared" si="8"/>
        <v>18.59375</v>
      </c>
      <c r="Z19" s="574">
        <f t="shared" si="8"/>
        <v>42.03125</v>
      </c>
      <c r="AA19" s="575">
        <f t="shared" si="8"/>
        <v>58.4375</v>
      </c>
      <c r="AB19" s="574">
        <f t="shared" si="8"/>
        <v>30.3125</v>
      </c>
      <c r="AC19" s="574">
        <f t="shared" si="8"/>
        <v>41.25</v>
      </c>
      <c r="AD19" s="575">
        <f t="shared" si="8"/>
        <v>31.5625</v>
      </c>
      <c r="AE19" s="574">
        <f t="shared" si="8"/>
        <v>9.6875</v>
      </c>
      <c r="AF19" s="574">
        <f t="shared" si="8"/>
        <v>0</v>
      </c>
      <c r="AG19" s="575">
        <f t="shared" si="8"/>
        <v>0</v>
      </c>
      <c r="AH19" s="574">
        <f t="shared" si="8"/>
        <v>0</v>
      </c>
      <c r="AI19" s="574">
        <f t="shared" si="8"/>
        <v>0</v>
      </c>
      <c r="AJ19" s="575">
        <f t="shared" si="8"/>
        <v>0</v>
      </c>
      <c r="AK19" s="574">
        <f t="shared" si="8"/>
        <v>0</v>
      </c>
      <c r="AL19" s="574">
        <f t="shared" si="8"/>
        <v>0</v>
      </c>
      <c r="AM19" s="576"/>
      <c r="AO19" s="23" t="s">
        <v>385</v>
      </c>
    </row>
    <row r="20" spans="2:44" ht="30" customHeight="1">
      <c r="B20" s="552"/>
      <c r="C20" s="552"/>
      <c r="D20" s="552"/>
      <c r="E20" s="552"/>
      <c r="F20" s="552"/>
      <c r="G20" s="552"/>
      <c r="H20" s="552"/>
      <c r="I20" s="552"/>
      <c r="J20" s="552"/>
      <c r="K20" s="552"/>
      <c r="L20" s="552"/>
      <c r="M20" s="552"/>
      <c r="N20" s="552"/>
      <c r="O20" s="552"/>
      <c r="P20" s="552"/>
      <c r="Q20" s="552"/>
      <c r="R20" s="552"/>
      <c r="S20" s="552"/>
      <c r="T20" s="552"/>
      <c r="U20" s="552"/>
      <c r="V20" s="552"/>
      <c r="W20" s="552"/>
      <c r="X20" s="552"/>
      <c r="Y20" s="552"/>
      <c r="Z20" s="552"/>
      <c r="AA20" s="552"/>
      <c r="AB20" s="552"/>
      <c r="AC20" s="552"/>
      <c r="AD20" s="552"/>
      <c r="AE20" s="552"/>
      <c r="AF20" s="552"/>
      <c r="AG20" s="552"/>
      <c r="AH20" s="552"/>
      <c r="AI20" s="552"/>
      <c r="AJ20" s="552"/>
      <c r="AK20" s="552"/>
      <c r="AL20" s="552"/>
      <c r="AM20" s="552"/>
    </row>
    <row r="21" spans="2:44" ht="30" customHeight="1">
      <c r="B21" s="552"/>
      <c r="C21" s="552"/>
      <c r="D21" s="552"/>
      <c r="E21" s="552"/>
      <c r="F21" s="552"/>
      <c r="G21" s="552"/>
      <c r="H21" s="552"/>
      <c r="I21" s="552"/>
      <c r="J21" s="552"/>
      <c r="K21" s="552"/>
      <c r="L21" s="552"/>
      <c r="M21" s="552"/>
      <c r="N21" s="552"/>
      <c r="O21" s="552"/>
      <c r="P21" s="552"/>
      <c r="Q21" s="552"/>
      <c r="R21" s="552"/>
      <c r="S21" s="552"/>
      <c r="T21" s="552"/>
      <c r="U21" s="552"/>
      <c r="V21" s="552"/>
      <c r="W21" s="552"/>
      <c r="X21" s="552"/>
      <c r="Y21" s="552"/>
      <c r="Z21" s="552"/>
      <c r="AA21" s="552"/>
      <c r="AB21" s="552"/>
      <c r="AC21" s="552"/>
      <c r="AD21" s="552"/>
      <c r="AE21" s="552"/>
      <c r="AF21" s="552"/>
      <c r="AG21" s="552"/>
      <c r="AH21" s="552"/>
      <c r="AI21" s="552"/>
      <c r="AJ21" s="552"/>
      <c r="AK21" s="552"/>
      <c r="AL21" s="552"/>
      <c r="AM21" s="552"/>
    </row>
    <row r="22" spans="2:44" ht="30" customHeight="1"/>
  </sheetData>
  <mergeCells count="10">
    <mergeCell ref="H2:J2"/>
    <mergeCell ref="B2:G2"/>
    <mergeCell ref="B3:G3"/>
    <mergeCell ref="B6:G6"/>
    <mergeCell ref="H6:J6"/>
    <mergeCell ref="H3:J3"/>
    <mergeCell ref="B4:G4"/>
    <mergeCell ref="H4:J4"/>
    <mergeCell ref="B5:G5"/>
    <mergeCell ref="H5:J5"/>
  </mergeCells>
  <phoneticPr fontId="4"/>
  <pageMargins left="0.78740157480314965" right="0.78740157480314965" top="0.78740157480314965" bottom="0.78740157480314965" header="0.39370078740157483" footer="0.39370078740157483"/>
  <pageSetup paperSize="9" scale="41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9"/>
  <sheetViews>
    <sheetView zoomScale="75" zoomScaleNormal="75" zoomScaleSheetLayoutView="75" workbookViewId="0"/>
  </sheetViews>
  <sheetFormatPr defaultRowHeight="13.5"/>
  <cols>
    <col min="1" max="1" width="14" customWidth="1"/>
    <col min="2" max="37" width="5.625" customWidth="1"/>
    <col min="38" max="38" width="6.875" customWidth="1"/>
  </cols>
  <sheetData>
    <row r="1" spans="1:38" ht="14.25" thickBot="1">
      <c r="A1" s="548" t="s">
        <v>591</v>
      </c>
      <c r="B1" s="3"/>
      <c r="C1" s="3"/>
      <c r="D1" s="3"/>
      <c r="E1" s="3"/>
      <c r="F1" s="3"/>
      <c r="G1" s="3"/>
      <c r="H1" s="3"/>
      <c r="I1" s="3"/>
      <c r="J1" s="3"/>
      <c r="K1" s="25" t="s">
        <v>188</v>
      </c>
      <c r="L1" s="440" t="s">
        <v>375</v>
      </c>
      <c r="M1" s="23"/>
      <c r="N1" s="440"/>
      <c r="O1" s="440"/>
      <c r="P1" s="440"/>
      <c r="Q1" s="440"/>
      <c r="R1" s="440"/>
      <c r="S1" s="3"/>
      <c r="T1" s="3"/>
      <c r="U1" s="25"/>
      <c r="V1" s="440"/>
      <c r="W1" s="23"/>
      <c r="X1" s="440"/>
      <c r="Y1" s="440"/>
      <c r="Z1" s="440"/>
      <c r="AA1" s="440"/>
      <c r="AB1" s="440"/>
      <c r="AC1" s="440"/>
      <c r="AD1" s="3"/>
      <c r="AE1" s="3"/>
      <c r="AF1" s="3"/>
      <c r="AG1" s="3"/>
      <c r="AH1" s="3"/>
      <c r="AI1" s="3"/>
      <c r="AJ1" s="3"/>
      <c r="AK1" s="3"/>
      <c r="AL1" s="3"/>
    </row>
    <row r="2" spans="1:38">
      <c r="A2" s="443"/>
      <c r="B2" s="444"/>
      <c r="C2" s="445" t="s">
        <v>345</v>
      </c>
      <c r="D2" s="446"/>
      <c r="E2" s="444"/>
      <c r="F2" s="445" t="s">
        <v>346</v>
      </c>
      <c r="G2" s="446"/>
      <c r="H2" s="447" t="s">
        <v>347</v>
      </c>
      <c r="I2" s="445" t="s">
        <v>348</v>
      </c>
      <c r="J2" s="446"/>
      <c r="K2" s="444"/>
      <c r="L2" s="445" t="s">
        <v>349</v>
      </c>
      <c r="M2" s="446"/>
      <c r="N2" s="444"/>
      <c r="O2" s="445" t="s">
        <v>350</v>
      </c>
      <c r="P2" s="446"/>
      <c r="Q2" s="444"/>
      <c r="R2" s="445" t="s">
        <v>351</v>
      </c>
      <c r="S2" s="446"/>
      <c r="T2" s="444"/>
      <c r="U2" s="445" t="s">
        <v>352</v>
      </c>
      <c r="V2" s="446"/>
      <c r="W2" s="444"/>
      <c r="X2" s="445" t="s">
        <v>353</v>
      </c>
      <c r="Y2" s="446"/>
      <c r="Z2" s="444"/>
      <c r="AA2" s="445" t="s">
        <v>354</v>
      </c>
      <c r="AB2" s="446"/>
      <c r="AC2" s="447" t="s">
        <v>347</v>
      </c>
      <c r="AD2" s="446">
        <v>10</v>
      </c>
      <c r="AE2" s="446"/>
      <c r="AF2" s="444"/>
      <c r="AG2" s="446">
        <v>11</v>
      </c>
      <c r="AH2" s="446"/>
      <c r="AI2" s="444"/>
      <c r="AJ2" s="446">
        <v>12</v>
      </c>
      <c r="AK2" s="446"/>
      <c r="AL2" s="448" t="s">
        <v>30</v>
      </c>
    </row>
    <row r="3" spans="1:38">
      <c r="A3" s="449" t="s">
        <v>355</v>
      </c>
      <c r="B3" s="450" t="s">
        <v>31</v>
      </c>
      <c r="C3" s="451" t="s">
        <v>32</v>
      </c>
      <c r="D3" s="451" t="s">
        <v>33</v>
      </c>
      <c r="E3" s="450" t="s">
        <v>31</v>
      </c>
      <c r="F3" s="451" t="s">
        <v>32</v>
      </c>
      <c r="G3" s="451" t="s">
        <v>33</v>
      </c>
      <c r="H3" s="450" t="s">
        <v>31</v>
      </c>
      <c r="I3" s="451" t="s">
        <v>32</v>
      </c>
      <c r="J3" s="451" t="s">
        <v>33</v>
      </c>
      <c r="K3" s="450" t="s">
        <v>31</v>
      </c>
      <c r="L3" s="451" t="s">
        <v>32</v>
      </c>
      <c r="M3" s="451" t="s">
        <v>33</v>
      </c>
      <c r="N3" s="450" t="s">
        <v>31</v>
      </c>
      <c r="O3" s="451" t="s">
        <v>32</v>
      </c>
      <c r="P3" s="451" t="s">
        <v>33</v>
      </c>
      <c r="Q3" s="450" t="s">
        <v>31</v>
      </c>
      <c r="R3" s="452" t="s">
        <v>32</v>
      </c>
      <c r="S3" s="452" t="s">
        <v>33</v>
      </c>
      <c r="T3" s="450" t="s">
        <v>31</v>
      </c>
      <c r="U3" s="451" t="s">
        <v>32</v>
      </c>
      <c r="V3" s="451" t="s">
        <v>33</v>
      </c>
      <c r="W3" s="450" t="s">
        <v>31</v>
      </c>
      <c r="X3" s="451" t="s">
        <v>32</v>
      </c>
      <c r="Y3" s="451" t="s">
        <v>33</v>
      </c>
      <c r="Z3" s="450" t="s">
        <v>31</v>
      </c>
      <c r="AA3" s="451" t="s">
        <v>32</v>
      </c>
      <c r="AB3" s="451" t="s">
        <v>33</v>
      </c>
      <c r="AC3" s="450" t="s">
        <v>31</v>
      </c>
      <c r="AD3" s="451" t="s">
        <v>32</v>
      </c>
      <c r="AE3" s="451" t="s">
        <v>33</v>
      </c>
      <c r="AF3" s="450" t="s">
        <v>31</v>
      </c>
      <c r="AG3" s="451" t="s">
        <v>32</v>
      </c>
      <c r="AH3" s="451" t="s">
        <v>33</v>
      </c>
      <c r="AI3" s="450" t="s">
        <v>31</v>
      </c>
      <c r="AJ3" s="451" t="s">
        <v>32</v>
      </c>
      <c r="AK3" s="451" t="s">
        <v>33</v>
      </c>
      <c r="AL3" s="453"/>
    </row>
    <row r="4" spans="1:38">
      <c r="A4" s="454"/>
      <c r="B4" s="455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D4" s="456"/>
      <c r="AE4" s="456"/>
      <c r="AF4" s="456"/>
      <c r="AG4" s="456"/>
      <c r="AH4" s="456"/>
      <c r="AI4" s="456"/>
      <c r="AJ4" s="456"/>
      <c r="AK4" s="456"/>
      <c r="AL4" s="549"/>
    </row>
    <row r="5" spans="1:38">
      <c r="A5" s="454" t="s">
        <v>356</v>
      </c>
      <c r="B5" s="455"/>
      <c r="C5" s="456"/>
      <c r="D5" s="456"/>
      <c r="E5" s="456"/>
      <c r="F5" s="456"/>
      <c r="G5" s="456"/>
      <c r="H5" s="456"/>
      <c r="I5" s="456"/>
      <c r="J5" s="456"/>
      <c r="K5" s="456"/>
      <c r="L5" s="456"/>
      <c r="M5" s="456" t="s">
        <v>357</v>
      </c>
      <c r="N5" s="456"/>
      <c r="O5" s="456"/>
      <c r="P5" s="456"/>
      <c r="Q5" s="456"/>
      <c r="R5" s="456"/>
      <c r="S5" s="456"/>
      <c r="T5" s="456"/>
      <c r="U5" s="456"/>
      <c r="V5" s="456"/>
      <c r="W5" s="457"/>
      <c r="X5" s="457"/>
      <c r="Y5" s="458"/>
      <c r="Z5" s="458"/>
      <c r="AA5" s="458"/>
      <c r="AB5" s="458"/>
      <c r="AC5" s="458"/>
      <c r="AD5" s="458"/>
      <c r="AE5" s="458"/>
      <c r="AF5" s="456"/>
      <c r="AG5" s="456"/>
      <c r="AH5" s="456"/>
      <c r="AI5" s="456"/>
      <c r="AJ5" s="456"/>
      <c r="AK5" s="456"/>
      <c r="AL5" s="550"/>
    </row>
    <row r="6" spans="1:38">
      <c r="A6" s="449"/>
      <c r="B6" s="450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  <c r="AB6" s="452"/>
      <c r="AC6" s="452"/>
      <c r="AD6" s="452"/>
      <c r="AE6" s="452"/>
      <c r="AF6" s="452"/>
      <c r="AG6" s="452"/>
      <c r="AH6" s="452"/>
      <c r="AI6" s="452"/>
      <c r="AJ6" s="452"/>
      <c r="AK6" s="452"/>
      <c r="AL6" s="551"/>
    </row>
    <row r="7" spans="1:38">
      <c r="A7" s="459" t="s">
        <v>358</v>
      </c>
      <c r="B7" s="460">
        <v>3.5</v>
      </c>
      <c r="C7" s="461">
        <v>3.5</v>
      </c>
      <c r="D7" s="461">
        <v>3.5</v>
      </c>
      <c r="E7" s="462">
        <v>3.5</v>
      </c>
      <c r="F7" s="463">
        <v>3.5</v>
      </c>
      <c r="G7" s="463">
        <v>3.5</v>
      </c>
      <c r="H7" s="462">
        <v>3.5</v>
      </c>
      <c r="I7" s="463">
        <v>3.5</v>
      </c>
      <c r="J7" s="463">
        <v>3.5</v>
      </c>
      <c r="K7" s="462"/>
      <c r="L7" s="463"/>
      <c r="M7" s="463"/>
      <c r="N7" s="462"/>
      <c r="O7" s="463"/>
      <c r="P7" s="463"/>
      <c r="Q7" s="462"/>
      <c r="R7" s="463"/>
      <c r="S7" s="463"/>
      <c r="T7" s="462"/>
      <c r="U7" s="463"/>
      <c r="V7" s="463"/>
      <c r="W7" s="462"/>
      <c r="X7" s="463"/>
      <c r="Y7" s="463"/>
      <c r="Z7" s="462"/>
      <c r="AA7" s="463"/>
      <c r="AB7" s="463"/>
      <c r="AC7" s="462"/>
      <c r="AD7" s="463"/>
      <c r="AE7" s="463"/>
      <c r="AF7" s="462"/>
      <c r="AG7" s="463"/>
      <c r="AH7" s="463"/>
      <c r="AI7" s="462">
        <v>3</v>
      </c>
      <c r="AJ7" s="463">
        <v>3</v>
      </c>
      <c r="AK7" s="463">
        <v>3.5</v>
      </c>
      <c r="AL7" s="464">
        <f t="shared" ref="AL7:AL17" si="0">SUM(B7:AK7)</f>
        <v>41</v>
      </c>
    </row>
    <row r="8" spans="1:38">
      <c r="A8" s="465" t="s">
        <v>359</v>
      </c>
      <c r="B8" s="466"/>
      <c r="C8" s="467"/>
      <c r="D8" s="467"/>
      <c r="E8" s="462"/>
      <c r="F8" s="463"/>
      <c r="G8" s="463"/>
      <c r="H8" s="462"/>
      <c r="I8" s="463"/>
      <c r="J8" s="463">
        <v>0.5</v>
      </c>
      <c r="K8" s="462"/>
      <c r="L8" s="463"/>
      <c r="M8" s="463"/>
      <c r="N8" s="462"/>
      <c r="O8" s="463"/>
      <c r="P8" s="463"/>
      <c r="Q8" s="462"/>
      <c r="R8" s="463"/>
      <c r="S8" s="463"/>
      <c r="T8" s="462">
        <v>0.5</v>
      </c>
      <c r="U8" s="463"/>
      <c r="V8" s="463"/>
      <c r="W8" s="462"/>
      <c r="X8" s="463"/>
      <c r="Y8" s="463"/>
      <c r="Z8" s="462">
        <v>0.5</v>
      </c>
      <c r="AA8" s="463"/>
      <c r="AB8" s="463"/>
      <c r="AC8" s="462"/>
      <c r="AD8" s="463"/>
      <c r="AE8" s="463">
        <v>0.9</v>
      </c>
      <c r="AF8" s="462"/>
      <c r="AG8" s="463"/>
      <c r="AH8" s="463"/>
      <c r="AI8" s="462"/>
      <c r="AJ8" s="463"/>
      <c r="AK8" s="463"/>
      <c r="AL8" s="468">
        <f t="shared" si="0"/>
        <v>2.4</v>
      </c>
    </row>
    <row r="9" spans="1:38">
      <c r="A9" s="465" t="s">
        <v>360</v>
      </c>
      <c r="B9" s="466"/>
      <c r="C9" s="467"/>
      <c r="D9" s="467"/>
      <c r="E9" s="462"/>
      <c r="F9" s="463"/>
      <c r="G9" s="463"/>
      <c r="H9" s="462" t="s">
        <v>371</v>
      </c>
      <c r="I9" s="463"/>
      <c r="J9" s="463"/>
      <c r="K9" s="462">
        <v>0.25</v>
      </c>
      <c r="L9" s="463">
        <v>0.25</v>
      </c>
      <c r="M9" s="463">
        <v>0.25</v>
      </c>
      <c r="N9" s="462">
        <v>0.25</v>
      </c>
      <c r="O9" s="463">
        <v>0.25</v>
      </c>
      <c r="P9" s="463">
        <v>0.25</v>
      </c>
      <c r="Q9" s="462">
        <v>0.25</v>
      </c>
      <c r="R9" s="463">
        <v>0.25</v>
      </c>
      <c r="S9" s="463">
        <v>0.25</v>
      </c>
      <c r="T9" s="462">
        <v>0.25</v>
      </c>
      <c r="U9" s="463">
        <v>0.25</v>
      </c>
      <c r="V9" s="463">
        <v>0.25</v>
      </c>
      <c r="W9" s="462">
        <v>0.25</v>
      </c>
      <c r="X9" s="463"/>
      <c r="Y9" s="463"/>
      <c r="Z9" s="462">
        <v>0.25</v>
      </c>
      <c r="AA9" s="463"/>
      <c r="AB9" s="463" t="s">
        <v>372</v>
      </c>
      <c r="AC9" s="462"/>
      <c r="AD9" s="463">
        <v>0.25</v>
      </c>
      <c r="AE9" s="463"/>
      <c r="AF9" s="462"/>
      <c r="AG9" s="463"/>
      <c r="AH9" s="463"/>
      <c r="AI9" s="462"/>
      <c r="AJ9" s="463"/>
      <c r="AK9" s="463"/>
      <c r="AL9" s="468">
        <f t="shared" si="0"/>
        <v>3.75</v>
      </c>
    </row>
    <row r="10" spans="1:38">
      <c r="A10" s="465" t="s">
        <v>361</v>
      </c>
      <c r="B10" s="466"/>
      <c r="C10" s="467"/>
      <c r="D10" s="467"/>
      <c r="E10" s="462"/>
      <c r="F10" s="463"/>
      <c r="G10" s="463"/>
      <c r="H10" s="462"/>
      <c r="I10" s="463"/>
      <c r="J10" s="463"/>
      <c r="K10" s="462"/>
      <c r="L10" s="463">
        <v>3.5</v>
      </c>
      <c r="M10" s="463">
        <v>4</v>
      </c>
      <c r="N10" s="462"/>
      <c r="O10" s="463"/>
      <c r="P10" s="463"/>
      <c r="Q10" s="462"/>
      <c r="R10" s="463"/>
      <c r="S10" s="463"/>
      <c r="T10" s="462"/>
      <c r="U10" s="463"/>
      <c r="V10" s="463"/>
      <c r="W10" s="462"/>
      <c r="X10" s="463"/>
      <c r="Y10" s="463"/>
      <c r="Z10" s="462"/>
      <c r="AA10" s="463"/>
      <c r="AB10" s="463"/>
      <c r="AC10" s="462"/>
      <c r="AD10" s="463"/>
      <c r="AE10" s="463"/>
      <c r="AF10" s="462"/>
      <c r="AG10" s="463"/>
      <c r="AH10" s="463"/>
      <c r="AI10" s="462"/>
      <c r="AJ10" s="463"/>
      <c r="AK10" s="463"/>
      <c r="AL10" s="468">
        <f t="shared" si="0"/>
        <v>7.5</v>
      </c>
    </row>
    <row r="11" spans="1:38">
      <c r="A11" s="465" t="s">
        <v>362</v>
      </c>
      <c r="B11" s="466"/>
      <c r="C11" s="467"/>
      <c r="D11" s="467"/>
      <c r="E11" s="462"/>
      <c r="F11" s="463"/>
      <c r="G11" s="463"/>
      <c r="H11" s="462"/>
      <c r="I11" s="463"/>
      <c r="J11" s="463"/>
      <c r="K11" s="462"/>
      <c r="L11" s="463"/>
      <c r="M11" s="463">
        <v>1.2</v>
      </c>
      <c r="N11" s="462"/>
      <c r="O11" s="463"/>
      <c r="P11" s="463"/>
      <c r="Q11" s="462"/>
      <c r="R11" s="463"/>
      <c r="S11" s="463"/>
      <c r="T11" s="462"/>
      <c r="U11" s="463"/>
      <c r="V11" s="463"/>
      <c r="W11" s="462"/>
      <c r="X11" s="463"/>
      <c r="Y11" s="463"/>
      <c r="Z11" s="462"/>
      <c r="AA11" s="463"/>
      <c r="AB11" s="463"/>
      <c r="AC11" s="462"/>
      <c r="AD11" s="463"/>
      <c r="AE11" s="463"/>
      <c r="AF11" s="462"/>
      <c r="AG11" s="463"/>
      <c r="AH11" s="463"/>
      <c r="AI11" s="462"/>
      <c r="AJ11" s="463"/>
      <c r="AK11" s="463"/>
      <c r="AL11" s="468">
        <f t="shared" si="0"/>
        <v>1.2</v>
      </c>
    </row>
    <row r="12" spans="1:38">
      <c r="A12" s="465" t="s">
        <v>363</v>
      </c>
      <c r="B12" s="466"/>
      <c r="C12" s="467"/>
      <c r="D12" s="467"/>
      <c r="E12" s="462"/>
      <c r="F12" s="463"/>
      <c r="G12" s="463"/>
      <c r="H12" s="462"/>
      <c r="I12" s="463"/>
      <c r="J12" s="463"/>
      <c r="K12" s="462"/>
      <c r="L12" s="463"/>
      <c r="M12" s="463"/>
      <c r="N12" s="462">
        <v>0.4</v>
      </c>
      <c r="O12" s="463"/>
      <c r="P12" s="463"/>
      <c r="Q12" s="462"/>
      <c r="R12" s="463"/>
      <c r="S12" s="463"/>
      <c r="T12" s="462"/>
      <c r="U12" s="463"/>
      <c r="V12" s="463">
        <v>0.2</v>
      </c>
      <c r="W12" s="462">
        <v>0.2</v>
      </c>
      <c r="X12" s="463">
        <v>0.1</v>
      </c>
      <c r="Y12" s="463"/>
      <c r="Z12" s="462"/>
      <c r="AA12" s="463"/>
      <c r="AB12" s="463"/>
      <c r="AC12" s="462"/>
      <c r="AD12" s="463"/>
      <c r="AE12" s="463"/>
      <c r="AF12" s="462"/>
      <c r="AG12" s="463"/>
      <c r="AH12" s="463"/>
      <c r="AI12" s="462"/>
      <c r="AJ12" s="463"/>
      <c r="AK12" s="463"/>
      <c r="AL12" s="468">
        <f t="shared" si="0"/>
        <v>0.9</v>
      </c>
    </row>
    <row r="13" spans="1:38">
      <c r="A13" s="465" t="s">
        <v>364</v>
      </c>
      <c r="B13" s="466"/>
      <c r="C13" s="467"/>
      <c r="D13" s="467"/>
      <c r="E13" s="462"/>
      <c r="F13" s="463"/>
      <c r="G13" s="463"/>
      <c r="H13" s="462"/>
      <c r="I13" s="463"/>
      <c r="J13" s="463"/>
      <c r="K13" s="462"/>
      <c r="L13" s="463"/>
      <c r="M13" s="463"/>
      <c r="N13" s="462">
        <v>3</v>
      </c>
      <c r="O13" s="463">
        <v>8</v>
      </c>
      <c r="P13" s="463">
        <v>8</v>
      </c>
      <c r="Q13" s="462">
        <v>8</v>
      </c>
      <c r="R13" s="463">
        <v>8</v>
      </c>
      <c r="S13" s="463">
        <v>8</v>
      </c>
      <c r="T13" s="462">
        <v>6</v>
      </c>
      <c r="U13" s="463">
        <v>3</v>
      </c>
      <c r="V13" s="463"/>
      <c r="W13" s="462"/>
      <c r="X13" s="463"/>
      <c r="Y13" s="463"/>
      <c r="Z13" s="462"/>
      <c r="AA13" s="463"/>
      <c r="AB13" s="463"/>
      <c r="AC13" s="462"/>
      <c r="AD13" s="463"/>
      <c r="AE13" s="463"/>
      <c r="AF13" s="462"/>
      <c r="AG13" s="463"/>
      <c r="AH13" s="463"/>
      <c r="AI13" s="462"/>
      <c r="AJ13" s="463"/>
      <c r="AK13" s="463"/>
      <c r="AL13" s="468">
        <f t="shared" si="0"/>
        <v>52</v>
      </c>
    </row>
    <row r="14" spans="1:38">
      <c r="A14" s="465" t="s">
        <v>365</v>
      </c>
      <c r="B14" s="466"/>
      <c r="C14" s="467"/>
      <c r="D14" s="467"/>
      <c r="E14" s="462"/>
      <c r="F14" s="463"/>
      <c r="G14" s="463"/>
      <c r="H14" s="462"/>
      <c r="I14" s="463"/>
      <c r="J14" s="463"/>
      <c r="K14" s="462">
        <v>0.5</v>
      </c>
      <c r="L14" s="463"/>
      <c r="M14" s="463"/>
      <c r="N14" s="462">
        <v>0.5</v>
      </c>
      <c r="O14" s="463"/>
      <c r="P14" s="463"/>
      <c r="Q14" s="462">
        <v>0.5</v>
      </c>
      <c r="R14" s="463"/>
      <c r="S14" s="463"/>
      <c r="T14" s="462"/>
      <c r="U14" s="463">
        <v>0.4</v>
      </c>
      <c r="V14" s="463"/>
      <c r="W14" s="462"/>
      <c r="X14" s="463">
        <v>0.4</v>
      </c>
      <c r="Y14" s="463"/>
      <c r="Z14" s="462"/>
      <c r="AA14" s="463"/>
      <c r="AB14" s="463"/>
      <c r="AC14" s="462"/>
      <c r="AD14" s="463"/>
      <c r="AE14" s="463"/>
      <c r="AF14" s="462"/>
      <c r="AG14" s="463"/>
      <c r="AH14" s="463"/>
      <c r="AI14" s="462"/>
      <c r="AJ14" s="463"/>
      <c r="AK14" s="463"/>
      <c r="AL14" s="468">
        <f t="shared" si="0"/>
        <v>2.2999999999999998</v>
      </c>
    </row>
    <row r="15" spans="1:38">
      <c r="A15" s="465" t="s">
        <v>366</v>
      </c>
      <c r="B15" s="466"/>
      <c r="C15" s="467"/>
      <c r="D15" s="467"/>
      <c r="E15" s="462"/>
      <c r="F15" s="463"/>
      <c r="G15" s="463"/>
      <c r="H15" s="462"/>
      <c r="I15" s="463"/>
      <c r="J15" s="463"/>
      <c r="K15" s="462"/>
      <c r="L15" s="463"/>
      <c r="M15" s="463"/>
      <c r="N15" s="462"/>
      <c r="O15" s="463"/>
      <c r="P15" s="463"/>
      <c r="Q15" s="462"/>
      <c r="R15" s="463"/>
      <c r="S15" s="463">
        <v>2.7</v>
      </c>
      <c r="T15" s="462">
        <v>2.7</v>
      </c>
      <c r="U15" s="463"/>
      <c r="V15" s="463"/>
      <c r="W15" s="462"/>
      <c r="X15" s="463"/>
      <c r="Y15" s="463"/>
      <c r="Z15" s="462"/>
      <c r="AA15" s="463"/>
      <c r="AB15" s="463"/>
      <c r="AC15" s="462"/>
      <c r="AD15" s="463"/>
      <c r="AE15" s="463"/>
      <c r="AF15" s="462"/>
      <c r="AG15" s="463"/>
      <c r="AH15" s="463"/>
      <c r="AI15" s="462"/>
      <c r="AJ15" s="463"/>
      <c r="AK15" s="463"/>
      <c r="AL15" s="468">
        <f t="shared" si="0"/>
        <v>5.4</v>
      </c>
    </row>
    <row r="16" spans="1:38">
      <c r="A16" s="449" t="s">
        <v>367</v>
      </c>
      <c r="B16" s="466"/>
      <c r="C16" s="467"/>
      <c r="D16" s="467"/>
      <c r="E16" s="466"/>
      <c r="F16" s="467"/>
      <c r="G16" s="467"/>
      <c r="H16" s="466"/>
      <c r="I16" s="467"/>
      <c r="J16" s="467"/>
      <c r="K16" s="462"/>
      <c r="L16" s="463"/>
      <c r="M16" s="463"/>
      <c r="N16" s="462"/>
      <c r="O16" s="463"/>
      <c r="P16" s="463"/>
      <c r="Q16" s="462"/>
      <c r="R16" s="463"/>
      <c r="S16" s="463"/>
      <c r="T16" s="462"/>
      <c r="U16" s="463"/>
      <c r="V16" s="463"/>
      <c r="W16" s="462">
        <v>40</v>
      </c>
      <c r="X16" s="463">
        <v>45</v>
      </c>
      <c r="Y16" s="463"/>
      <c r="Z16" s="462"/>
      <c r="AA16" s="463"/>
      <c r="AB16" s="463"/>
      <c r="AC16" s="462"/>
      <c r="AD16" s="463"/>
      <c r="AE16" s="463"/>
      <c r="AF16" s="462"/>
      <c r="AG16" s="463"/>
      <c r="AH16" s="463"/>
      <c r="AI16" s="466"/>
      <c r="AJ16" s="467"/>
      <c r="AK16" s="467"/>
      <c r="AL16" s="468">
        <f t="shared" si="0"/>
        <v>85</v>
      </c>
    </row>
    <row r="17" spans="1:38">
      <c r="A17" s="449" t="s">
        <v>368</v>
      </c>
      <c r="B17" s="466"/>
      <c r="C17" s="467"/>
      <c r="D17" s="467">
        <v>0.1</v>
      </c>
      <c r="E17" s="466">
        <v>0.1</v>
      </c>
      <c r="F17" s="467">
        <v>0.1</v>
      </c>
      <c r="G17" s="467">
        <v>0.1</v>
      </c>
      <c r="H17" s="466">
        <v>0.1</v>
      </c>
      <c r="I17" s="467">
        <v>0.1</v>
      </c>
      <c r="J17" s="467">
        <v>0.1</v>
      </c>
      <c r="K17" s="462">
        <v>1</v>
      </c>
      <c r="L17" s="463">
        <v>1</v>
      </c>
      <c r="M17" s="463"/>
      <c r="N17" s="462">
        <v>2</v>
      </c>
      <c r="O17" s="463"/>
      <c r="P17" s="463"/>
      <c r="Q17" s="462"/>
      <c r="R17" s="463"/>
      <c r="S17" s="463"/>
      <c r="T17" s="462">
        <v>1</v>
      </c>
      <c r="U17" s="463">
        <v>1</v>
      </c>
      <c r="V17" s="463">
        <v>1</v>
      </c>
      <c r="W17" s="462">
        <v>1</v>
      </c>
      <c r="X17" s="463">
        <v>1</v>
      </c>
      <c r="Y17" s="463"/>
      <c r="Z17" s="462"/>
      <c r="AA17" s="463"/>
      <c r="AB17" s="463"/>
      <c r="AC17" s="462">
        <v>1</v>
      </c>
      <c r="AD17" s="463">
        <v>1</v>
      </c>
      <c r="AE17" s="463">
        <v>1</v>
      </c>
      <c r="AF17" s="462">
        <v>2</v>
      </c>
      <c r="AG17" s="463">
        <v>1</v>
      </c>
      <c r="AH17" s="463">
        <v>1</v>
      </c>
      <c r="AI17" s="466">
        <v>1</v>
      </c>
      <c r="AJ17" s="467">
        <v>1</v>
      </c>
      <c r="AK17" s="467">
        <v>1</v>
      </c>
      <c r="AL17" s="468">
        <f t="shared" si="0"/>
        <v>19.7</v>
      </c>
    </row>
    <row r="18" spans="1:38">
      <c r="A18" s="469" t="s">
        <v>369</v>
      </c>
      <c r="B18" s="466">
        <f t="shared" ref="B18:AK18" si="1">SUM(B7:B17)</f>
        <v>3.5</v>
      </c>
      <c r="C18" s="470">
        <f t="shared" si="1"/>
        <v>3.5</v>
      </c>
      <c r="D18" s="471">
        <f t="shared" si="1"/>
        <v>3.6</v>
      </c>
      <c r="E18" s="466">
        <f t="shared" si="1"/>
        <v>3.6</v>
      </c>
      <c r="F18" s="470">
        <f t="shared" si="1"/>
        <v>3.6</v>
      </c>
      <c r="G18" s="471">
        <f t="shared" si="1"/>
        <v>3.6</v>
      </c>
      <c r="H18" s="466">
        <f t="shared" si="1"/>
        <v>3.6</v>
      </c>
      <c r="I18" s="470">
        <f t="shared" si="1"/>
        <v>3.6</v>
      </c>
      <c r="J18" s="471">
        <f t="shared" si="1"/>
        <v>4.0999999999999996</v>
      </c>
      <c r="K18" s="466">
        <f t="shared" si="1"/>
        <v>1.75</v>
      </c>
      <c r="L18" s="470">
        <f t="shared" si="1"/>
        <v>4.75</v>
      </c>
      <c r="M18" s="471">
        <f t="shared" si="1"/>
        <v>5.45</v>
      </c>
      <c r="N18" s="466">
        <f t="shared" si="1"/>
        <v>6.15</v>
      </c>
      <c r="O18" s="470">
        <f t="shared" si="1"/>
        <v>8.25</v>
      </c>
      <c r="P18" s="471">
        <f t="shared" si="1"/>
        <v>8.25</v>
      </c>
      <c r="Q18" s="466">
        <f t="shared" si="1"/>
        <v>8.75</v>
      </c>
      <c r="R18" s="470">
        <f t="shared" si="1"/>
        <v>8.25</v>
      </c>
      <c r="S18" s="471">
        <f t="shared" si="1"/>
        <v>10.95</v>
      </c>
      <c r="T18" s="466">
        <f t="shared" si="1"/>
        <v>10.45</v>
      </c>
      <c r="U18" s="470">
        <f t="shared" si="1"/>
        <v>4.6500000000000004</v>
      </c>
      <c r="V18" s="471">
        <f t="shared" si="1"/>
        <v>1.45</v>
      </c>
      <c r="W18" s="466">
        <f t="shared" si="1"/>
        <v>41.45</v>
      </c>
      <c r="X18" s="470">
        <f t="shared" si="1"/>
        <v>46.5</v>
      </c>
      <c r="Y18" s="471">
        <f t="shared" si="1"/>
        <v>0</v>
      </c>
      <c r="Z18" s="466">
        <f t="shared" si="1"/>
        <v>0.75</v>
      </c>
      <c r="AA18" s="470">
        <f t="shared" si="1"/>
        <v>0</v>
      </c>
      <c r="AB18" s="471">
        <f t="shared" si="1"/>
        <v>0</v>
      </c>
      <c r="AC18" s="466">
        <f t="shared" si="1"/>
        <v>1</v>
      </c>
      <c r="AD18" s="470">
        <f t="shared" si="1"/>
        <v>1.25</v>
      </c>
      <c r="AE18" s="471">
        <f t="shared" si="1"/>
        <v>1.9</v>
      </c>
      <c r="AF18" s="466">
        <f t="shared" si="1"/>
        <v>2</v>
      </c>
      <c r="AG18" s="470">
        <f t="shared" si="1"/>
        <v>1</v>
      </c>
      <c r="AH18" s="471">
        <f t="shared" si="1"/>
        <v>1</v>
      </c>
      <c r="AI18" s="466">
        <f t="shared" si="1"/>
        <v>4</v>
      </c>
      <c r="AJ18" s="470">
        <f t="shared" si="1"/>
        <v>4</v>
      </c>
      <c r="AK18" s="471">
        <f t="shared" si="1"/>
        <v>4.5</v>
      </c>
      <c r="AL18" s="468"/>
    </row>
    <row r="19" spans="1:38" ht="14.25" thickBot="1">
      <c r="A19" s="472" t="s">
        <v>370</v>
      </c>
      <c r="B19" s="473"/>
      <c r="C19" s="474">
        <f>SUM(B18:D18)</f>
        <v>10.6</v>
      </c>
      <c r="D19" s="474"/>
      <c r="E19" s="473"/>
      <c r="F19" s="474">
        <f>SUM(E18:G18)</f>
        <v>10.8</v>
      </c>
      <c r="G19" s="474"/>
      <c r="H19" s="473"/>
      <c r="I19" s="474">
        <f>SUM(H18:J18)</f>
        <v>11.3</v>
      </c>
      <c r="J19" s="474"/>
      <c r="K19" s="473"/>
      <c r="L19" s="474">
        <f>SUM(K18:M18)</f>
        <v>11.95</v>
      </c>
      <c r="M19" s="474"/>
      <c r="N19" s="473"/>
      <c r="O19" s="474">
        <f>SUM(N18:P18)</f>
        <v>22.65</v>
      </c>
      <c r="P19" s="474"/>
      <c r="Q19" s="473"/>
      <c r="R19" s="474">
        <f>SUM(Q18:S18)</f>
        <v>27.95</v>
      </c>
      <c r="S19" s="474"/>
      <c r="T19" s="473"/>
      <c r="U19" s="474">
        <f>SUM(T18:V18)</f>
        <v>16.55</v>
      </c>
      <c r="V19" s="474"/>
      <c r="W19" s="473"/>
      <c r="X19" s="474">
        <f>SUM(W18:Y18)</f>
        <v>87.95</v>
      </c>
      <c r="Y19" s="474"/>
      <c r="Z19" s="473"/>
      <c r="AA19" s="474">
        <f>SUM(Z18:AB18)</f>
        <v>0.75</v>
      </c>
      <c r="AB19" s="474"/>
      <c r="AC19" s="473"/>
      <c r="AD19" s="474">
        <f>SUM(AC18:AE18)</f>
        <v>4.1500000000000004</v>
      </c>
      <c r="AE19" s="474"/>
      <c r="AF19" s="473"/>
      <c r="AG19" s="474">
        <f>SUM(AF18:AH18)</f>
        <v>4</v>
      </c>
      <c r="AH19" s="474"/>
      <c r="AI19" s="473"/>
      <c r="AJ19" s="474">
        <f>SUM(AI18:AK18)</f>
        <v>12.5</v>
      </c>
      <c r="AK19" s="474"/>
      <c r="AL19" s="475">
        <f>SUM(B19:AK19)</f>
        <v>221.15</v>
      </c>
    </row>
  </sheetData>
  <phoneticPr fontId="4"/>
  <pageMargins left="0.7" right="0.7" top="0.75" bottom="0.75" header="0.3" footer="0.3"/>
  <pageSetup paperSize="9" scale="5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9"/>
  <sheetViews>
    <sheetView zoomScale="75" zoomScaleNormal="75" zoomScaleSheetLayoutView="75" workbookViewId="0"/>
  </sheetViews>
  <sheetFormatPr defaultRowHeight="13.5"/>
  <cols>
    <col min="1" max="1" width="12.125" customWidth="1"/>
    <col min="2" max="37" width="5.625" customWidth="1"/>
    <col min="38" max="38" width="7.25" customWidth="1"/>
  </cols>
  <sheetData>
    <row r="1" spans="1:38" ht="14.25" thickBot="1">
      <c r="A1" s="3" t="s">
        <v>592</v>
      </c>
      <c r="K1" s="25" t="s">
        <v>188</v>
      </c>
      <c r="L1" s="440" t="s">
        <v>376</v>
      </c>
    </row>
    <row r="2" spans="1:38">
      <c r="A2" s="443"/>
      <c r="B2" s="444"/>
      <c r="C2" s="445" t="s">
        <v>345</v>
      </c>
      <c r="D2" s="446"/>
      <c r="E2" s="444"/>
      <c r="F2" s="445" t="s">
        <v>346</v>
      </c>
      <c r="G2" s="446"/>
      <c r="H2" s="447" t="s">
        <v>347</v>
      </c>
      <c r="I2" s="445" t="s">
        <v>348</v>
      </c>
      <c r="J2" s="446"/>
      <c r="K2" s="444"/>
      <c r="L2" s="445" t="s">
        <v>349</v>
      </c>
      <c r="M2" s="446"/>
      <c r="N2" s="444"/>
      <c r="O2" s="445" t="s">
        <v>350</v>
      </c>
      <c r="P2" s="446"/>
      <c r="Q2" s="444"/>
      <c r="R2" s="445" t="s">
        <v>351</v>
      </c>
      <c r="S2" s="446"/>
      <c r="T2" s="444"/>
      <c r="U2" s="445" t="s">
        <v>352</v>
      </c>
      <c r="V2" s="446"/>
      <c r="W2" s="444"/>
      <c r="X2" s="445" t="s">
        <v>353</v>
      </c>
      <c r="Y2" s="446"/>
      <c r="Z2" s="444"/>
      <c r="AA2" s="445" t="s">
        <v>354</v>
      </c>
      <c r="AB2" s="446"/>
      <c r="AC2" s="447" t="s">
        <v>347</v>
      </c>
      <c r="AD2" s="446">
        <v>10</v>
      </c>
      <c r="AE2" s="446"/>
      <c r="AF2" s="444"/>
      <c r="AG2" s="446">
        <v>11</v>
      </c>
      <c r="AH2" s="446"/>
      <c r="AI2" s="444"/>
      <c r="AJ2" s="446">
        <v>12</v>
      </c>
      <c r="AK2" s="446"/>
      <c r="AL2" s="448" t="s">
        <v>30</v>
      </c>
    </row>
    <row r="3" spans="1:38">
      <c r="A3" s="449" t="s">
        <v>355</v>
      </c>
      <c r="B3" s="450" t="s">
        <v>31</v>
      </c>
      <c r="C3" s="451" t="s">
        <v>32</v>
      </c>
      <c r="D3" s="451" t="s">
        <v>33</v>
      </c>
      <c r="E3" s="450" t="s">
        <v>31</v>
      </c>
      <c r="F3" s="451" t="s">
        <v>32</v>
      </c>
      <c r="G3" s="451" t="s">
        <v>33</v>
      </c>
      <c r="H3" s="450" t="s">
        <v>31</v>
      </c>
      <c r="I3" s="451" t="s">
        <v>32</v>
      </c>
      <c r="J3" s="451" t="s">
        <v>33</v>
      </c>
      <c r="K3" s="450" t="s">
        <v>31</v>
      </c>
      <c r="L3" s="451" t="s">
        <v>32</v>
      </c>
      <c r="M3" s="451" t="s">
        <v>33</v>
      </c>
      <c r="N3" s="450" t="s">
        <v>31</v>
      </c>
      <c r="O3" s="451" t="s">
        <v>32</v>
      </c>
      <c r="P3" s="451" t="s">
        <v>33</v>
      </c>
      <c r="Q3" s="450" t="s">
        <v>31</v>
      </c>
      <c r="R3" s="452" t="s">
        <v>32</v>
      </c>
      <c r="S3" s="452" t="s">
        <v>33</v>
      </c>
      <c r="T3" s="450" t="s">
        <v>31</v>
      </c>
      <c r="U3" s="451" t="s">
        <v>32</v>
      </c>
      <c r="V3" s="451" t="s">
        <v>33</v>
      </c>
      <c r="W3" s="450" t="s">
        <v>31</v>
      </c>
      <c r="X3" s="451" t="s">
        <v>32</v>
      </c>
      <c r="Y3" s="451" t="s">
        <v>33</v>
      </c>
      <c r="Z3" s="450" t="s">
        <v>31</v>
      </c>
      <c r="AA3" s="451" t="s">
        <v>32</v>
      </c>
      <c r="AB3" s="451" t="s">
        <v>33</v>
      </c>
      <c r="AC3" s="450" t="s">
        <v>31</v>
      </c>
      <c r="AD3" s="451" t="s">
        <v>32</v>
      </c>
      <c r="AE3" s="451" t="s">
        <v>33</v>
      </c>
      <c r="AF3" s="450" t="s">
        <v>31</v>
      </c>
      <c r="AG3" s="451" t="s">
        <v>32</v>
      </c>
      <c r="AH3" s="451" t="s">
        <v>33</v>
      </c>
      <c r="AI3" s="450" t="s">
        <v>31</v>
      </c>
      <c r="AJ3" s="451" t="s">
        <v>32</v>
      </c>
      <c r="AK3" s="451" t="s">
        <v>33</v>
      </c>
      <c r="AL3" s="453"/>
    </row>
    <row r="4" spans="1:38">
      <c r="A4" s="454"/>
      <c r="B4" s="455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D4" s="456"/>
      <c r="AE4" s="456"/>
      <c r="AF4" s="456"/>
      <c r="AG4" s="456"/>
      <c r="AH4" s="456"/>
      <c r="AI4" s="456"/>
      <c r="AJ4" s="456"/>
      <c r="AK4" s="456"/>
      <c r="AL4" s="549"/>
    </row>
    <row r="5" spans="1:38">
      <c r="A5" s="454" t="s">
        <v>356</v>
      </c>
      <c r="B5" s="455"/>
      <c r="C5" s="456"/>
      <c r="D5" s="456"/>
      <c r="E5" s="456"/>
      <c r="F5" s="456"/>
      <c r="G5" s="456"/>
      <c r="H5" s="456"/>
      <c r="I5" s="456"/>
      <c r="J5" s="456"/>
      <c r="K5" s="456"/>
      <c r="L5" s="456"/>
      <c r="M5" s="456" t="s">
        <v>357</v>
      </c>
      <c r="N5" s="456"/>
      <c r="O5" s="456"/>
      <c r="P5" s="456"/>
      <c r="Q5" s="456"/>
      <c r="R5" s="456"/>
      <c r="S5" s="456"/>
      <c r="T5" s="456"/>
      <c r="U5" s="456"/>
      <c r="V5" s="456"/>
      <c r="W5" s="476"/>
      <c r="X5" s="476"/>
      <c r="Y5" s="457"/>
      <c r="Z5" s="457"/>
      <c r="AA5" s="457"/>
      <c r="AB5" s="458"/>
      <c r="AC5" s="458"/>
      <c r="AD5" s="458"/>
      <c r="AE5" s="458"/>
      <c r="AF5" s="456"/>
      <c r="AG5" s="456"/>
      <c r="AH5" s="456"/>
      <c r="AI5" s="456"/>
      <c r="AJ5" s="456"/>
      <c r="AK5" s="456"/>
      <c r="AL5" s="550"/>
    </row>
    <row r="6" spans="1:38">
      <c r="A6" s="449"/>
      <c r="B6" s="450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  <c r="AB6" s="452"/>
      <c r="AC6" s="452"/>
      <c r="AD6" s="452"/>
      <c r="AE6" s="452"/>
      <c r="AF6" s="452"/>
      <c r="AG6" s="452"/>
      <c r="AH6" s="452"/>
      <c r="AI6" s="452"/>
      <c r="AJ6" s="452"/>
      <c r="AK6" s="452"/>
      <c r="AL6" s="551"/>
    </row>
    <row r="7" spans="1:38">
      <c r="A7" s="459" t="s">
        <v>358</v>
      </c>
      <c r="B7" s="460">
        <f>+'５-１あけみず時間'!B7</f>
        <v>3.5</v>
      </c>
      <c r="C7" s="461">
        <f>+'５-１あけみず時間'!C7</f>
        <v>3.5</v>
      </c>
      <c r="D7" s="461">
        <f>+'５-１あけみず時間'!D7</f>
        <v>3.5</v>
      </c>
      <c r="E7" s="462">
        <f>+'５-１あけみず時間'!E7</f>
        <v>3.5</v>
      </c>
      <c r="F7" s="463">
        <f>+'５-１あけみず時間'!F7</f>
        <v>3.5</v>
      </c>
      <c r="G7" s="463">
        <f>+'５-１あけみず時間'!G7</f>
        <v>3.5</v>
      </c>
      <c r="H7" s="462">
        <f>+'５-１あけみず時間'!H7</f>
        <v>3.5</v>
      </c>
      <c r="I7" s="463">
        <f>+'５-１あけみず時間'!I7</f>
        <v>3.5</v>
      </c>
      <c r="J7" s="463">
        <f>+'５-１あけみず時間'!J7</f>
        <v>3.5</v>
      </c>
      <c r="K7" s="462">
        <f>+'５-１あけみず時間'!K7</f>
        <v>0</v>
      </c>
      <c r="L7" s="463">
        <f>+'５-１あけみず時間'!L7</f>
        <v>0</v>
      </c>
      <c r="M7" s="463">
        <f>+'５-１あけみず時間'!M7</f>
        <v>0</v>
      </c>
      <c r="N7" s="462">
        <f>+'５-１あけみず時間'!N7</f>
        <v>0</v>
      </c>
      <c r="O7" s="463">
        <f>+'５-１あけみず時間'!O7</f>
        <v>0</v>
      </c>
      <c r="P7" s="463">
        <f>+'５-１あけみず時間'!P7</f>
        <v>0</v>
      </c>
      <c r="Q7" s="462">
        <f>+'５-１あけみず時間'!Q7</f>
        <v>0</v>
      </c>
      <c r="R7" s="463">
        <f>+'５-１あけみず時間'!R7</f>
        <v>0</v>
      </c>
      <c r="S7" s="463">
        <f>+'５-１あけみず時間'!S7</f>
        <v>0</v>
      </c>
      <c r="T7" s="462">
        <f>+'５-１あけみず時間'!T7</f>
        <v>0</v>
      </c>
      <c r="U7" s="463">
        <f>+'５-１あけみず時間'!U7</f>
        <v>0</v>
      </c>
      <c r="V7" s="463">
        <f>+'５-１あけみず時間'!V7</f>
        <v>0</v>
      </c>
      <c r="W7" s="462">
        <f>+'５-１あけみず時間'!W7</f>
        <v>0</v>
      </c>
      <c r="X7" s="463">
        <f>+'５-１あけみず時間'!X7</f>
        <v>0</v>
      </c>
      <c r="Y7" s="463">
        <f>+'５-１あけみず時間'!Y7</f>
        <v>0</v>
      </c>
      <c r="Z7" s="462">
        <f>+'５-１あけみず時間'!Z7</f>
        <v>0</v>
      </c>
      <c r="AA7" s="463">
        <f>+'５-１あけみず時間'!AA7</f>
        <v>0</v>
      </c>
      <c r="AB7" s="463">
        <f>+'５-１あけみず時間'!AB7</f>
        <v>0</v>
      </c>
      <c r="AC7" s="462">
        <f>+'５-１あけみず時間'!AC7</f>
        <v>0</v>
      </c>
      <c r="AD7" s="463">
        <f>+'５-１あけみず時間'!AD7</f>
        <v>0</v>
      </c>
      <c r="AE7" s="463">
        <f>+'５-１あけみず時間'!AE7</f>
        <v>0</v>
      </c>
      <c r="AF7" s="462">
        <f>+'５-１あけみず時間'!AF7</f>
        <v>0</v>
      </c>
      <c r="AG7" s="463">
        <f>+'５-１あけみず時間'!AG7</f>
        <v>0</v>
      </c>
      <c r="AH7" s="463">
        <f>+'５-１あけみず時間'!AH7</f>
        <v>0</v>
      </c>
      <c r="AI7" s="462">
        <f>+'５-１あけみず時間'!AI7</f>
        <v>3</v>
      </c>
      <c r="AJ7" s="463">
        <f>+'５-１あけみず時間'!AJ7</f>
        <v>3</v>
      </c>
      <c r="AK7" s="463">
        <f>+'５-１あけみず時間'!AK7</f>
        <v>3.5</v>
      </c>
      <c r="AL7" s="464">
        <f t="shared" ref="AL7:AL17" si="0">SUM(B7:AK7)</f>
        <v>41</v>
      </c>
    </row>
    <row r="8" spans="1:38">
      <c r="A8" s="465" t="s">
        <v>359</v>
      </c>
      <c r="B8" s="466">
        <f>+'５-１あけみず時間'!B8</f>
        <v>0</v>
      </c>
      <c r="C8" s="467">
        <f>+'５-１あけみず時間'!C8</f>
        <v>0</v>
      </c>
      <c r="D8" s="467">
        <f>+'５-１あけみず時間'!D8</f>
        <v>0</v>
      </c>
      <c r="E8" s="462">
        <f>+'５-１あけみず時間'!E8</f>
        <v>0</v>
      </c>
      <c r="F8" s="463">
        <f>+'５-１あけみず時間'!F8</f>
        <v>0</v>
      </c>
      <c r="G8" s="463">
        <f>+'５-１あけみず時間'!G8</f>
        <v>0</v>
      </c>
      <c r="H8" s="462">
        <f>+'５-１あけみず時間'!H8</f>
        <v>0</v>
      </c>
      <c r="I8" s="463">
        <f>+'５-１あけみず時間'!I8</f>
        <v>0</v>
      </c>
      <c r="J8" s="463">
        <f>+'５-１あけみず時間'!J8</f>
        <v>0.5</v>
      </c>
      <c r="K8" s="462">
        <f>+'５-１あけみず時間'!K8</f>
        <v>0</v>
      </c>
      <c r="L8" s="463">
        <f>+'５-１あけみず時間'!L8</f>
        <v>0</v>
      </c>
      <c r="M8" s="463">
        <f>+'５-１あけみず時間'!M8</f>
        <v>0</v>
      </c>
      <c r="N8" s="462">
        <f>+'５-１あけみず時間'!N8</f>
        <v>0</v>
      </c>
      <c r="O8" s="463">
        <f>+'５-１あけみず時間'!O8</f>
        <v>0</v>
      </c>
      <c r="P8" s="463">
        <f>+'５-１あけみず時間'!P8</f>
        <v>0</v>
      </c>
      <c r="Q8" s="462">
        <f>+'５-１あけみず時間'!Q8</f>
        <v>0</v>
      </c>
      <c r="R8" s="463">
        <f>+'５-１あけみず時間'!R8</f>
        <v>0</v>
      </c>
      <c r="S8" s="463">
        <f>+'５-１あけみず時間'!S8</f>
        <v>0</v>
      </c>
      <c r="T8" s="462">
        <f>+'５-１あけみず時間'!T8</f>
        <v>0.5</v>
      </c>
      <c r="U8" s="463">
        <f>+'５-１あけみず時間'!U8</f>
        <v>0</v>
      </c>
      <c r="V8" s="463">
        <f>+'５-１あけみず時間'!V8</f>
        <v>0</v>
      </c>
      <c r="W8" s="462">
        <f>+'５-１あけみず時間'!W8</f>
        <v>0</v>
      </c>
      <c r="X8" s="463">
        <f>+'５-１あけみず時間'!X8</f>
        <v>0</v>
      </c>
      <c r="Y8" s="463">
        <f>+'５-１あけみず時間'!Y8</f>
        <v>0</v>
      </c>
      <c r="Z8" s="462">
        <f>+'５-１あけみず時間'!Z8</f>
        <v>0.5</v>
      </c>
      <c r="AA8" s="463">
        <f>+'５-１あけみず時間'!AA8</f>
        <v>0</v>
      </c>
      <c r="AB8" s="463">
        <f>+'５-１あけみず時間'!AB8</f>
        <v>0</v>
      </c>
      <c r="AC8" s="462">
        <f>+'５-１あけみず時間'!AC8</f>
        <v>0</v>
      </c>
      <c r="AD8" s="463">
        <f>+'５-１あけみず時間'!AD8</f>
        <v>0</v>
      </c>
      <c r="AE8" s="463">
        <f>+'５-１あけみず時間'!AE8</f>
        <v>0.9</v>
      </c>
      <c r="AF8" s="462">
        <f>+'５-１あけみず時間'!AF8</f>
        <v>0</v>
      </c>
      <c r="AG8" s="463">
        <f>+'５-１あけみず時間'!AG8</f>
        <v>0</v>
      </c>
      <c r="AH8" s="463">
        <f>+'５-１あけみず時間'!AH8</f>
        <v>0</v>
      </c>
      <c r="AI8" s="462">
        <f>+'５-１あけみず時間'!AI8</f>
        <v>0</v>
      </c>
      <c r="AJ8" s="463">
        <f>+'５-１あけみず時間'!AJ8</f>
        <v>0</v>
      </c>
      <c r="AK8" s="463">
        <f>+'５-１あけみず時間'!AK8</f>
        <v>0</v>
      </c>
      <c r="AL8" s="468">
        <f t="shared" si="0"/>
        <v>2.4</v>
      </c>
    </row>
    <row r="9" spans="1:38">
      <c r="A9" s="465" t="s">
        <v>360</v>
      </c>
      <c r="B9" s="466">
        <f>+'５-１あけみず時間'!B9</f>
        <v>0</v>
      </c>
      <c r="C9" s="467">
        <f>+'５-１あけみず時間'!C9</f>
        <v>0</v>
      </c>
      <c r="D9" s="467">
        <f>+'５-１あけみず時間'!D9</f>
        <v>0</v>
      </c>
      <c r="E9" s="462">
        <f>+'５-１あけみず時間'!E9</f>
        <v>0</v>
      </c>
      <c r="F9" s="463">
        <f>+'５-１あけみず時間'!F9</f>
        <v>0</v>
      </c>
      <c r="G9" s="463">
        <f>+'５-１あけみず時間'!G9</f>
        <v>0</v>
      </c>
      <c r="H9" s="462" t="str">
        <f>+'５-１あけみず時間'!H9</f>
        <v>　</v>
      </c>
      <c r="I9" s="463">
        <f>+'５-１あけみず時間'!I9</f>
        <v>0</v>
      </c>
      <c r="J9" s="463">
        <f>+'５-１あけみず時間'!J9</f>
        <v>0</v>
      </c>
      <c r="K9" s="462">
        <f>+'５-１あけみず時間'!K9</f>
        <v>0.25</v>
      </c>
      <c r="L9" s="463">
        <f>+'５-１あけみず時間'!L9</f>
        <v>0.25</v>
      </c>
      <c r="M9" s="463">
        <f>+'５-１あけみず時間'!M9</f>
        <v>0.25</v>
      </c>
      <c r="N9" s="462">
        <f>+'５-１あけみず時間'!N9</f>
        <v>0.25</v>
      </c>
      <c r="O9" s="463">
        <f>+'５-１あけみず時間'!O9</f>
        <v>0.25</v>
      </c>
      <c r="P9" s="463">
        <f>+'５-１あけみず時間'!P9</f>
        <v>0.25</v>
      </c>
      <c r="Q9" s="462">
        <f>+'５-１あけみず時間'!Q9</f>
        <v>0.25</v>
      </c>
      <c r="R9" s="463">
        <f>+'５-１あけみず時間'!R9</f>
        <v>0.25</v>
      </c>
      <c r="S9" s="463">
        <f>+'５-１あけみず時間'!S9</f>
        <v>0.25</v>
      </c>
      <c r="T9" s="462">
        <f>+'５-１あけみず時間'!T9</f>
        <v>0.25</v>
      </c>
      <c r="U9" s="463">
        <f>+'５-１あけみず時間'!U9</f>
        <v>0.25</v>
      </c>
      <c r="V9" s="463">
        <f>+'５-１あけみず時間'!V9</f>
        <v>0.25</v>
      </c>
      <c r="W9" s="462">
        <f>+'５-１あけみず時間'!W9</f>
        <v>0.25</v>
      </c>
      <c r="X9" s="463">
        <f>+'５-１あけみず時間'!X9</f>
        <v>0</v>
      </c>
      <c r="Y9" s="463">
        <f>+'５-１あけみず時間'!Y9</f>
        <v>0</v>
      </c>
      <c r="Z9" s="462">
        <f>+'５-１あけみず時間'!Z9</f>
        <v>0.25</v>
      </c>
      <c r="AA9" s="463">
        <f>+'５-１あけみず時間'!AA9</f>
        <v>0</v>
      </c>
      <c r="AB9" s="463" t="str">
        <f>+'５-１あけみず時間'!AB9</f>
        <v>　</v>
      </c>
      <c r="AC9" s="462">
        <f>+'５-１あけみず時間'!AC9</f>
        <v>0</v>
      </c>
      <c r="AD9" s="463">
        <f>+'５-１あけみず時間'!AD9</f>
        <v>0.25</v>
      </c>
      <c r="AE9" s="463">
        <f>+'５-１あけみず時間'!AE9</f>
        <v>0</v>
      </c>
      <c r="AF9" s="462">
        <f>+'５-１あけみず時間'!AF9</f>
        <v>0</v>
      </c>
      <c r="AG9" s="463">
        <f>+'５-１あけみず時間'!AG9</f>
        <v>0</v>
      </c>
      <c r="AH9" s="463">
        <f>+'５-１あけみず時間'!AH9</f>
        <v>0</v>
      </c>
      <c r="AI9" s="462">
        <f>+'５-１あけみず時間'!AI9</f>
        <v>0</v>
      </c>
      <c r="AJ9" s="463">
        <f>+'５-１あけみず時間'!AJ9</f>
        <v>0</v>
      </c>
      <c r="AK9" s="463">
        <f>+'５-１あけみず時間'!AK9</f>
        <v>0</v>
      </c>
      <c r="AL9" s="468">
        <f t="shared" si="0"/>
        <v>3.75</v>
      </c>
    </row>
    <row r="10" spans="1:38">
      <c r="A10" s="465" t="s">
        <v>361</v>
      </c>
      <c r="B10" s="466">
        <f>+'５-１あけみず時間'!B10</f>
        <v>0</v>
      </c>
      <c r="C10" s="467">
        <f>+'５-１あけみず時間'!C10</f>
        <v>0</v>
      </c>
      <c r="D10" s="467">
        <f>+'５-１あけみず時間'!D10</f>
        <v>0</v>
      </c>
      <c r="E10" s="462">
        <f>+'５-１あけみず時間'!E10</f>
        <v>0</v>
      </c>
      <c r="F10" s="463">
        <f>+'５-１あけみず時間'!F10</f>
        <v>0</v>
      </c>
      <c r="G10" s="463">
        <f>+'５-１あけみず時間'!G10</f>
        <v>0</v>
      </c>
      <c r="H10" s="462">
        <f>+'５-１あけみず時間'!H10</f>
        <v>0</v>
      </c>
      <c r="I10" s="463">
        <f>+'５-１あけみず時間'!I10</f>
        <v>0</v>
      </c>
      <c r="J10" s="463">
        <f>+'５-１あけみず時間'!J10</f>
        <v>0</v>
      </c>
      <c r="K10" s="462">
        <f>+'５-１あけみず時間'!K10</f>
        <v>0</v>
      </c>
      <c r="L10" s="463">
        <f>+'５-１あけみず時間'!L10</f>
        <v>3.5</v>
      </c>
      <c r="M10" s="463">
        <f>+'５-１あけみず時間'!M10</f>
        <v>4</v>
      </c>
      <c r="N10" s="462">
        <f>+'５-１あけみず時間'!N10</f>
        <v>0</v>
      </c>
      <c r="O10" s="463">
        <f>+'５-１あけみず時間'!O10</f>
        <v>0</v>
      </c>
      <c r="P10" s="463">
        <f>+'５-１あけみず時間'!P10</f>
        <v>0</v>
      </c>
      <c r="Q10" s="462">
        <f>+'５-１あけみず時間'!Q10</f>
        <v>0</v>
      </c>
      <c r="R10" s="463">
        <f>+'５-１あけみず時間'!R10</f>
        <v>0</v>
      </c>
      <c r="S10" s="463">
        <f>+'５-１あけみず時間'!S10</f>
        <v>0</v>
      </c>
      <c r="T10" s="462">
        <f>+'５-１あけみず時間'!T10</f>
        <v>0</v>
      </c>
      <c r="U10" s="463">
        <f>+'５-１あけみず時間'!U10</f>
        <v>0</v>
      </c>
      <c r="V10" s="463">
        <f>+'５-１あけみず時間'!V10</f>
        <v>0</v>
      </c>
      <c r="W10" s="462">
        <f>+'５-１あけみず時間'!W10</f>
        <v>0</v>
      </c>
      <c r="X10" s="463">
        <f>+'５-１あけみず時間'!X10</f>
        <v>0</v>
      </c>
      <c r="Y10" s="463">
        <f>+'５-１あけみず時間'!Y10</f>
        <v>0</v>
      </c>
      <c r="Z10" s="462">
        <f>+'５-１あけみず時間'!Z10</f>
        <v>0</v>
      </c>
      <c r="AA10" s="463">
        <f>+'５-１あけみず時間'!AA10</f>
        <v>0</v>
      </c>
      <c r="AB10" s="463">
        <f>+'５-１あけみず時間'!AB10</f>
        <v>0</v>
      </c>
      <c r="AC10" s="462">
        <f>+'５-１あけみず時間'!AC10</f>
        <v>0</v>
      </c>
      <c r="AD10" s="463">
        <f>+'５-１あけみず時間'!AD10</f>
        <v>0</v>
      </c>
      <c r="AE10" s="463">
        <f>+'５-１あけみず時間'!AE10</f>
        <v>0</v>
      </c>
      <c r="AF10" s="462">
        <f>+'５-１あけみず時間'!AF10</f>
        <v>0</v>
      </c>
      <c r="AG10" s="463">
        <f>+'５-１あけみず時間'!AG10</f>
        <v>0</v>
      </c>
      <c r="AH10" s="463">
        <f>+'５-１あけみず時間'!AH10</f>
        <v>0</v>
      </c>
      <c r="AI10" s="462">
        <f>+'５-１あけみず時間'!AI10</f>
        <v>0</v>
      </c>
      <c r="AJ10" s="463">
        <f>+'５-１あけみず時間'!AJ10</f>
        <v>0</v>
      </c>
      <c r="AK10" s="463">
        <f>+'５-１あけみず時間'!AK10</f>
        <v>0</v>
      </c>
      <c r="AL10" s="468">
        <f t="shared" si="0"/>
        <v>7.5</v>
      </c>
    </row>
    <row r="11" spans="1:38">
      <c r="A11" s="465" t="s">
        <v>362</v>
      </c>
      <c r="B11" s="466">
        <f>+'５-１あけみず時間'!B11</f>
        <v>0</v>
      </c>
      <c r="C11" s="467">
        <f>+'５-１あけみず時間'!C11</f>
        <v>0</v>
      </c>
      <c r="D11" s="467">
        <f>+'５-１あけみず時間'!D11</f>
        <v>0</v>
      </c>
      <c r="E11" s="462">
        <f>+'５-１あけみず時間'!E11</f>
        <v>0</v>
      </c>
      <c r="F11" s="463">
        <f>+'５-１あけみず時間'!F11</f>
        <v>0</v>
      </c>
      <c r="G11" s="463">
        <f>+'５-１あけみず時間'!G11</f>
        <v>0</v>
      </c>
      <c r="H11" s="462">
        <f>+'５-１あけみず時間'!H11</f>
        <v>0</v>
      </c>
      <c r="I11" s="463">
        <f>+'５-１あけみず時間'!I11</f>
        <v>0</v>
      </c>
      <c r="J11" s="463">
        <f>+'５-１あけみず時間'!J11</f>
        <v>0</v>
      </c>
      <c r="K11" s="462">
        <f>+'５-１あけみず時間'!K11</f>
        <v>0</v>
      </c>
      <c r="L11" s="463">
        <f>+'５-１あけみず時間'!L11</f>
        <v>0</v>
      </c>
      <c r="M11" s="463">
        <f>+'５-１あけみず時間'!M11</f>
        <v>1.2</v>
      </c>
      <c r="N11" s="462">
        <f>+'５-１あけみず時間'!N11</f>
        <v>0</v>
      </c>
      <c r="O11" s="463">
        <f>+'５-１あけみず時間'!O11</f>
        <v>0</v>
      </c>
      <c r="P11" s="463">
        <f>+'５-１あけみず時間'!P11</f>
        <v>0</v>
      </c>
      <c r="Q11" s="462">
        <f>+'５-１あけみず時間'!Q11</f>
        <v>0</v>
      </c>
      <c r="R11" s="463">
        <f>+'５-１あけみず時間'!R11</f>
        <v>0</v>
      </c>
      <c r="S11" s="463">
        <f>+'５-１あけみず時間'!S11</f>
        <v>0</v>
      </c>
      <c r="T11" s="462">
        <f>+'５-１あけみず時間'!T11</f>
        <v>0</v>
      </c>
      <c r="U11" s="463">
        <f>+'５-１あけみず時間'!U11</f>
        <v>0</v>
      </c>
      <c r="V11" s="463">
        <f>+'５-１あけみず時間'!V11</f>
        <v>0</v>
      </c>
      <c r="W11" s="462">
        <f>+'５-１あけみず時間'!W11</f>
        <v>0</v>
      </c>
      <c r="X11" s="463">
        <f>+'５-１あけみず時間'!X11</f>
        <v>0</v>
      </c>
      <c r="Y11" s="463">
        <f>+'５-１あけみず時間'!Y11</f>
        <v>0</v>
      </c>
      <c r="Z11" s="462">
        <f>+'５-１あけみず時間'!Z11</f>
        <v>0</v>
      </c>
      <c r="AA11" s="463">
        <f>+'５-１あけみず時間'!AA11</f>
        <v>0</v>
      </c>
      <c r="AB11" s="463">
        <f>+'５-１あけみず時間'!AB11</f>
        <v>0</v>
      </c>
      <c r="AC11" s="462">
        <f>+'５-１あけみず時間'!AC11</f>
        <v>0</v>
      </c>
      <c r="AD11" s="463">
        <f>+'５-１あけみず時間'!AD11</f>
        <v>0</v>
      </c>
      <c r="AE11" s="463">
        <f>+'５-１あけみず時間'!AE11</f>
        <v>0</v>
      </c>
      <c r="AF11" s="462">
        <f>+'５-１あけみず時間'!AF11</f>
        <v>0</v>
      </c>
      <c r="AG11" s="463">
        <f>+'５-１あけみず時間'!AG11</f>
        <v>0</v>
      </c>
      <c r="AH11" s="463">
        <f>+'５-１あけみず時間'!AH11</f>
        <v>0</v>
      </c>
      <c r="AI11" s="462">
        <f>+'５-１あけみず時間'!AI11</f>
        <v>0</v>
      </c>
      <c r="AJ11" s="463">
        <f>+'５-１あけみず時間'!AJ11</f>
        <v>0</v>
      </c>
      <c r="AK11" s="463">
        <f>+'５-１あけみず時間'!AK11</f>
        <v>0</v>
      </c>
      <c r="AL11" s="468">
        <f t="shared" si="0"/>
        <v>1.2</v>
      </c>
    </row>
    <row r="12" spans="1:38">
      <c r="A12" s="465" t="s">
        <v>363</v>
      </c>
      <c r="B12" s="466">
        <f>+'５-１あけみず時間'!B12</f>
        <v>0</v>
      </c>
      <c r="C12" s="467">
        <f>+'５-１あけみず時間'!C12</f>
        <v>0</v>
      </c>
      <c r="D12" s="467">
        <f>+'５-１あけみず時間'!D12</f>
        <v>0</v>
      </c>
      <c r="E12" s="462">
        <f>+'５-１あけみず時間'!E12</f>
        <v>0</v>
      </c>
      <c r="F12" s="463">
        <f>+'５-１あけみず時間'!F12</f>
        <v>0</v>
      </c>
      <c r="G12" s="463">
        <f>+'５-１あけみず時間'!G12</f>
        <v>0</v>
      </c>
      <c r="H12" s="462">
        <f>+'５-１あけみず時間'!H12</f>
        <v>0</v>
      </c>
      <c r="I12" s="463">
        <f>+'５-１あけみず時間'!I12</f>
        <v>0</v>
      </c>
      <c r="J12" s="463">
        <f>+'５-１あけみず時間'!J12</f>
        <v>0</v>
      </c>
      <c r="K12" s="462">
        <f>+'５-１あけみず時間'!K12</f>
        <v>0</v>
      </c>
      <c r="L12" s="463">
        <f>+'５-１あけみず時間'!L12</f>
        <v>0</v>
      </c>
      <c r="M12" s="463">
        <f>+'５-１あけみず時間'!M12</f>
        <v>0</v>
      </c>
      <c r="N12" s="462">
        <f>+'５-１あけみず時間'!N12</f>
        <v>0.4</v>
      </c>
      <c r="O12" s="463">
        <f>+'５-１あけみず時間'!O12</f>
        <v>0</v>
      </c>
      <c r="P12" s="463">
        <f>+'５-１あけみず時間'!P12</f>
        <v>0</v>
      </c>
      <c r="Q12" s="462">
        <f>+'５-１あけみず時間'!Q12</f>
        <v>0</v>
      </c>
      <c r="R12" s="463">
        <f>+'５-１あけみず時間'!R12</f>
        <v>0</v>
      </c>
      <c r="S12" s="463">
        <f>+'５-１あけみず時間'!S12</f>
        <v>0</v>
      </c>
      <c r="T12" s="462">
        <f>+'５-１あけみず時間'!T12</f>
        <v>0</v>
      </c>
      <c r="U12" s="463">
        <f>+'５-１あけみず時間'!U12</f>
        <v>0</v>
      </c>
      <c r="V12" s="463">
        <f>+'５-１あけみず時間'!V12</f>
        <v>0.2</v>
      </c>
      <c r="W12" s="462">
        <f>+'５-１あけみず時間'!W12</f>
        <v>0.2</v>
      </c>
      <c r="X12" s="463">
        <f>+'５-１あけみず時間'!X12</f>
        <v>0.1</v>
      </c>
      <c r="Y12" s="463">
        <f>+'５-１あけみず時間'!Y12</f>
        <v>0</v>
      </c>
      <c r="Z12" s="462">
        <f>+'５-１あけみず時間'!Z12</f>
        <v>0</v>
      </c>
      <c r="AA12" s="463">
        <f>+'５-１あけみず時間'!AA12</f>
        <v>0</v>
      </c>
      <c r="AB12" s="463">
        <f>+'５-１あけみず時間'!AB12</f>
        <v>0</v>
      </c>
      <c r="AC12" s="462">
        <f>+'５-１あけみず時間'!AC12</f>
        <v>0</v>
      </c>
      <c r="AD12" s="463">
        <f>+'５-１あけみず時間'!AD12</f>
        <v>0</v>
      </c>
      <c r="AE12" s="463">
        <f>+'５-１あけみず時間'!AE12</f>
        <v>0</v>
      </c>
      <c r="AF12" s="462">
        <f>+'５-１あけみず時間'!AF12</f>
        <v>0</v>
      </c>
      <c r="AG12" s="463">
        <f>+'５-１あけみず時間'!AG12</f>
        <v>0</v>
      </c>
      <c r="AH12" s="463">
        <f>+'５-１あけみず時間'!AH12</f>
        <v>0</v>
      </c>
      <c r="AI12" s="462">
        <f>+'５-１あけみず時間'!AI12</f>
        <v>0</v>
      </c>
      <c r="AJ12" s="463">
        <f>+'５-１あけみず時間'!AJ12</f>
        <v>0</v>
      </c>
      <c r="AK12" s="463">
        <f>+'５-１あけみず時間'!AK12</f>
        <v>0</v>
      </c>
      <c r="AL12" s="468">
        <f t="shared" si="0"/>
        <v>0.9</v>
      </c>
    </row>
    <row r="13" spans="1:38">
      <c r="A13" s="465" t="s">
        <v>364</v>
      </c>
      <c r="B13" s="466">
        <f>+'５-１あけみず時間'!B13</f>
        <v>0</v>
      </c>
      <c r="C13" s="467">
        <f>+'５-１あけみず時間'!C13</f>
        <v>0</v>
      </c>
      <c r="D13" s="467">
        <f>+'５-１あけみず時間'!D13</f>
        <v>0</v>
      </c>
      <c r="E13" s="462">
        <f>+'５-１あけみず時間'!E13</f>
        <v>0</v>
      </c>
      <c r="F13" s="463">
        <f>+'５-１あけみず時間'!F13</f>
        <v>0</v>
      </c>
      <c r="G13" s="463">
        <f>+'５-１あけみず時間'!G13</f>
        <v>0</v>
      </c>
      <c r="H13" s="462">
        <f>+'５-１あけみず時間'!H13</f>
        <v>0</v>
      </c>
      <c r="I13" s="463">
        <f>+'５-１あけみず時間'!I13</f>
        <v>0</v>
      </c>
      <c r="J13" s="463">
        <f>+'５-１あけみず時間'!J13</f>
        <v>0</v>
      </c>
      <c r="K13" s="462">
        <f>+'５-１あけみず時間'!K13</f>
        <v>0</v>
      </c>
      <c r="L13" s="463">
        <f>+'５-１あけみず時間'!L13</f>
        <v>0</v>
      </c>
      <c r="M13" s="463">
        <f>+'５-１あけみず時間'!M13</f>
        <v>0</v>
      </c>
      <c r="N13" s="462">
        <f>+'５-１あけみず時間'!N13</f>
        <v>3</v>
      </c>
      <c r="O13" s="463">
        <f>+'５-１あけみず時間'!O13</f>
        <v>8</v>
      </c>
      <c r="P13" s="463">
        <f>+'５-１あけみず時間'!P13</f>
        <v>8</v>
      </c>
      <c r="Q13" s="462">
        <f>+'５-１あけみず時間'!Q13</f>
        <v>8</v>
      </c>
      <c r="R13" s="463">
        <f>+'５-１あけみず時間'!R13</f>
        <v>8</v>
      </c>
      <c r="S13" s="463">
        <f>+'５-１あけみず時間'!S13</f>
        <v>8</v>
      </c>
      <c r="T13" s="462">
        <f>+'５-１あけみず時間'!T13</f>
        <v>6</v>
      </c>
      <c r="U13" s="463">
        <f>+'５-１あけみず時間'!U13</f>
        <v>3</v>
      </c>
      <c r="V13" s="463">
        <f>+'５-１あけみず時間'!V13</f>
        <v>0</v>
      </c>
      <c r="W13" s="462">
        <f>+'５-１あけみず時間'!W13</f>
        <v>0</v>
      </c>
      <c r="X13" s="463">
        <f>+'５-１あけみず時間'!X13</f>
        <v>0</v>
      </c>
      <c r="Y13" s="463">
        <f>+'５-１あけみず時間'!Y13</f>
        <v>0</v>
      </c>
      <c r="Z13" s="462">
        <f>+'５-１あけみず時間'!Z13</f>
        <v>0</v>
      </c>
      <c r="AA13" s="463">
        <f>+'５-１あけみず時間'!AA13</f>
        <v>0</v>
      </c>
      <c r="AB13" s="463">
        <f>+'５-１あけみず時間'!AB13</f>
        <v>0</v>
      </c>
      <c r="AC13" s="462">
        <f>+'５-１あけみず時間'!AC13</f>
        <v>0</v>
      </c>
      <c r="AD13" s="463">
        <f>+'５-１あけみず時間'!AD13</f>
        <v>0</v>
      </c>
      <c r="AE13" s="463">
        <f>+'５-１あけみず時間'!AE13</f>
        <v>0</v>
      </c>
      <c r="AF13" s="462">
        <f>+'５-１あけみず時間'!AF13</f>
        <v>0</v>
      </c>
      <c r="AG13" s="463">
        <f>+'５-１あけみず時間'!AG13</f>
        <v>0</v>
      </c>
      <c r="AH13" s="463">
        <f>+'５-１あけみず時間'!AH13</f>
        <v>0</v>
      </c>
      <c r="AI13" s="462">
        <f>+'５-１あけみず時間'!AI13</f>
        <v>0</v>
      </c>
      <c r="AJ13" s="463">
        <f>+'５-１あけみず時間'!AJ13</f>
        <v>0</v>
      </c>
      <c r="AK13" s="463">
        <f>+'５-１あけみず時間'!AK13</f>
        <v>0</v>
      </c>
      <c r="AL13" s="468">
        <f t="shared" si="0"/>
        <v>52</v>
      </c>
    </row>
    <row r="14" spans="1:38">
      <c r="A14" s="465" t="s">
        <v>365</v>
      </c>
      <c r="B14" s="466">
        <f>+'５-１あけみず時間'!B14</f>
        <v>0</v>
      </c>
      <c r="C14" s="467">
        <f>+'５-１あけみず時間'!C14</f>
        <v>0</v>
      </c>
      <c r="D14" s="467">
        <f>+'５-１あけみず時間'!D14</f>
        <v>0</v>
      </c>
      <c r="E14" s="462">
        <f>+'５-１あけみず時間'!E14</f>
        <v>0</v>
      </c>
      <c r="F14" s="463">
        <f>+'５-１あけみず時間'!F14</f>
        <v>0</v>
      </c>
      <c r="G14" s="463">
        <f>+'５-１あけみず時間'!G14</f>
        <v>0</v>
      </c>
      <c r="H14" s="462">
        <f>+'５-１あけみず時間'!H14</f>
        <v>0</v>
      </c>
      <c r="I14" s="463">
        <f>+'５-１あけみず時間'!I14</f>
        <v>0</v>
      </c>
      <c r="J14" s="463">
        <f>+'５-１あけみず時間'!J14</f>
        <v>0</v>
      </c>
      <c r="K14" s="462">
        <f>+'５-１あけみず時間'!K14</f>
        <v>0.5</v>
      </c>
      <c r="L14" s="463">
        <f>+'５-１あけみず時間'!L14</f>
        <v>0</v>
      </c>
      <c r="M14" s="463">
        <f>+'５-１あけみず時間'!M14</f>
        <v>0</v>
      </c>
      <c r="N14" s="462">
        <f>+'５-１あけみず時間'!N14</f>
        <v>0.5</v>
      </c>
      <c r="O14" s="463">
        <f>+'５-１あけみず時間'!O14</f>
        <v>0</v>
      </c>
      <c r="P14" s="463">
        <f>+'５-１あけみず時間'!P14</f>
        <v>0</v>
      </c>
      <c r="Q14" s="462">
        <f>+'５-１あけみず時間'!Q14</f>
        <v>0.5</v>
      </c>
      <c r="R14" s="463">
        <f>+'５-１あけみず時間'!R14</f>
        <v>0</v>
      </c>
      <c r="S14" s="463">
        <f>+'５-１あけみず時間'!S14</f>
        <v>0</v>
      </c>
      <c r="T14" s="462">
        <f>+'５-１あけみず時間'!T14</f>
        <v>0</v>
      </c>
      <c r="U14" s="463">
        <f>+'５-１あけみず時間'!U14</f>
        <v>0.4</v>
      </c>
      <c r="V14" s="463">
        <f>+'５-１あけみず時間'!V14</f>
        <v>0</v>
      </c>
      <c r="W14" s="462">
        <f>+'５-１あけみず時間'!W14</f>
        <v>0</v>
      </c>
      <c r="X14" s="463">
        <f>+'５-１あけみず時間'!X14</f>
        <v>0.4</v>
      </c>
      <c r="Y14" s="463">
        <f>+'５-１あけみず時間'!Y14</f>
        <v>0</v>
      </c>
      <c r="Z14" s="462">
        <f>+'５-１あけみず時間'!Z14</f>
        <v>0</v>
      </c>
      <c r="AA14" s="463">
        <f>+'５-１あけみず時間'!AA14</f>
        <v>0</v>
      </c>
      <c r="AB14" s="463">
        <f>+'５-１あけみず時間'!AB14</f>
        <v>0</v>
      </c>
      <c r="AC14" s="462">
        <f>+'５-１あけみず時間'!AC14</f>
        <v>0</v>
      </c>
      <c r="AD14" s="463">
        <f>+'５-１あけみず時間'!AD14</f>
        <v>0</v>
      </c>
      <c r="AE14" s="463">
        <f>+'５-１あけみず時間'!AE14</f>
        <v>0</v>
      </c>
      <c r="AF14" s="462">
        <f>+'５-１あけみず時間'!AF14</f>
        <v>0</v>
      </c>
      <c r="AG14" s="463">
        <f>+'５-１あけみず時間'!AG14</f>
        <v>0</v>
      </c>
      <c r="AH14" s="463">
        <f>+'５-１あけみず時間'!AH14</f>
        <v>0</v>
      </c>
      <c r="AI14" s="462">
        <f>+'５-１あけみず時間'!AI14</f>
        <v>0</v>
      </c>
      <c r="AJ14" s="463">
        <f>+'５-１あけみず時間'!AJ14</f>
        <v>0</v>
      </c>
      <c r="AK14" s="463">
        <f>+'５-１あけみず時間'!AK14</f>
        <v>0</v>
      </c>
      <c r="AL14" s="468">
        <f t="shared" si="0"/>
        <v>2.2999999999999998</v>
      </c>
    </row>
    <row r="15" spans="1:38">
      <c r="A15" s="465" t="s">
        <v>366</v>
      </c>
      <c r="B15" s="466">
        <f>+'５-１あけみず時間'!B15</f>
        <v>0</v>
      </c>
      <c r="C15" s="467">
        <f>+'５-１あけみず時間'!C15</f>
        <v>0</v>
      </c>
      <c r="D15" s="467">
        <f>+'５-１あけみず時間'!D15</f>
        <v>0</v>
      </c>
      <c r="E15" s="462">
        <f>+'５-１あけみず時間'!E15</f>
        <v>0</v>
      </c>
      <c r="F15" s="463">
        <f>+'５-１あけみず時間'!F15</f>
        <v>0</v>
      </c>
      <c r="G15" s="463">
        <f>+'５-１あけみず時間'!G15</f>
        <v>0</v>
      </c>
      <c r="H15" s="462">
        <f>+'５-１あけみず時間'!H15</f>
        <v>0</v>
      </c>
      <c r="I15" s="463">
        <f>+'５-１あけみず時間'!I15</f>
        <v>0</v>
      </c>
      <c r="J15" s="463">
        <f>+'５-１あけみず時間'!J15</f>
        <v>0</v>
      </c>
      <c r="K15" s="462">
        <f>+'５-１あけみず時間'!K15</f>
        <v>0</v>
      </c>
      <c r="L15" s="463">
        <f>+'５-１あけみず時間'!L15</f>
        <v>0</v>
      </c>
      <c r="M15" s="463">
        <f>+'５-１あけみず時間'!M15</f>
        <v>0</v>
      </c>
      <c r="N15" s="462">
        <f>+'５-１あけみず時間'!N15</f>
        <v>0</v>
      </c>
      <c r="O15" s="463">
        <f>+'５-１あけみず時間'!O15</f>
        <v>0</v>
      </c>
      <c r="P15" s="463">
        <f>+'５-１あけみず時間'!P15</f>
        <v>0</v>
      </c>
      <c r="Q15" s="462">
        <f>+'５-１あけみず時間'!Q15</f>
        <v>0</v>
      </c>
      <c r="R15" s="463">
        <f>+'５-１あけみず時間'!R15</f>
        <v>0</v>
      </c>
      <c r="S15" s="463">
        <f>+'５-１あけみず時間'!S15</f>
        <v>2.7</v>
      </c>
      <c r="T15" s="462">
        <f>+'５-１あけみず時間'!T15</f>
        <v>2.7</v>
      </c>
      <c r="U15" s="463">
        <f>+'５-１あけみず時間'!U15</f>
        <v>0</v>
      </c>
      <c r="V15" s="463">
        <f>+'５-１あけみず時間'!V15</f>
        <v>0</v>
      </c>
      <c r="W15" s="462">
        <f>+'５-１あけみず時間'!W15</f>
        <v>0</v>
      </c>
      <c r="X15" s="463">
        <f>+'５-１あけみず時間'!X15</f>
        <v>0</v>
      </c>
      <c r="Y15" s="463">
        <f>+'５-１あけみず時間'!Y15</f>
        <v>0</v>
      </c>
      <c r="Z15" s="462">
        <f>+'５-１あけみず時間'!Z15</f>
        <v>0</v>
      </c>
      <c r="AA15" s="463">
        <f>+'５-１あけみず時間'!AA15</f>
        <v>0</v>
      </c>
      <c r="AB15" s="463">
        <f>+'５-１あけみず時間'!AB15</f>
        <v>0</v>
      </c>
      <c r="AC15" s="462">
        <f>+'５-１あけみず時間'!AC15</f>
        <v>0</v>
      </c>
      <c r="AD15" s="463">
        <f>+'５-１あけみず時間'!AD15</f>
        <v>0</v>
      </c>
      <c r="AE15" s="463">
        <f>+'５-１あけみず時間'!AE15</f>
        <v>0</v>
      </c>
      <c r="AF15" s="462">
        <f>+'５-１あけみず時間'!AF15</f>
        <v>0</v>
      </c>
      <c r="AG15" s="463">
        <f>+'５-１あけみず時間'!AG15</f>
        <v>0</v>
      </c>
      <c r="AH15" s="463">
        <f>+'５-１あけみず時間'!AH15</f>
        <v>0</v>
      </c>
      <c r="AI15" s="462">
        <f>+'５-１あけみず時間'!AI15</f>
        <v>0</v>
      </c>
      <c r="AJ15" s="463">
        <f>+'５-１あけみず時間'!AJ15</f>
        <v>0</v>
      </c>
      <c r="AK15" s="463">
        <f>+'５-１あけみず時間'!AK15</f>
        <v>0</v>
      </c>
      <c r="AL15" s="468">
        <f t="shared" si="0"/>
        <v>5.4</v>
      </c>
    </row>
    <row r="16" spans="1:38">
      <c r="A16" s="449" t="s">
        <v>367</v>
      </c>
      <c r="B16" s="466"/>
      <c r="C16" s="467"/>
      <c r="D16" s="467"/>
      <c r="E16" s="466"/>
      <c r="F16" s="467"/>
      <c r="G16" s="467"/>
      <c r="H16" s="466"/>
      <c r="I16" s="467"/>
      <c r="J16" s="467"/>
      <c r="K16" s="462"/>
      <c r="L16" s="463"/>
      <c r="M16" s="463"/>
      <c r="N16" s="462"/>
      <c r="O16" s="463"/>
      <c r="P16" s="463"/>
      <c r="Q16" s="462"/>
      <c r="R16" s="463"/>
      <c r="S16" s="463"/>
      <c r="T16" s="462"/>
      <c r="U16" s="463"/>
      <c r="V16" s="463"/>
      <c r="W16" s="462"/>
      <c r="X16" s="463"/>
      <c r="Y16" s="463">
        <v>35</v>
      </c>
      <c r="Z16" s="462">
        <v>40</v>
      </c>
      <c r="AA16" s="463">
        <v>10</v>
      </c>
      <c r="AB16" s="463"/>
      <c r="AC16" s="462"/>
      <c r="AD16" s="463"/>
      <c r="AE16" s="463"/>
      <c r="AF16" s="462"/>
      <c r="AG16" s="463"/>
      <c r="AH16" s="463"/>
      <c r="AI16" s="466"/>
      <c r="AJ16" s="467"/>
      <c r="AK16" s="467"/>
      <c r="AL16" s="468">
        <f t="shared" si="0"/>
        <v>85</v>
      </c>
    </row>
    <row r="17" spans="1:38">
      <c r="A17" s="449" t="s">
        <v>368</v>
      </c>
      <c r="B17" s="466">
        <f>+'５-１あけみず時間'!B17</f>
        <v>0</v>
      </c>
      <c r="C17" s="467">
        <f>+'５-１あけみず時間'!C17</f>
        <v>0</v>
      </c>
      <c r="D17" s="467">
        <f>+'５-１あけみず時間'!D17</f>
        <v>0.1</v>
      </c>
      <c r="E17" s="466">
        <f>+'５-１あけみず時間'!E17</f>
        <v>0.1</v>
      </c>
      <c r="F17" s="467">
        <f>+'５-１あけみず時間'!F17</f>
        <v>0.1</v>
      </c>
      <c r="G17" s="467">
        <f>+'５-１あけみず時間'!G17</f>
        <v>0.1</v>
      </c>
      <c r="H17" s="466">
        <f>+'５-１あけみず時間'!H17</f>
        <v>0.1</v>
      </c>
      <c r="I17" s="467">
        <f>+'５-１あけみず時間'!I17</f>
        <v>0.1</v>
      </c>
      <c r="J17" s="467">
        <f>+'５-１あけみず時間'!J17</f>
        <v>0.1</v>
      </c>
      <c r="K17" s="462">
        <f>+'５-１あけみず時間'!K17</f>
        <v>1</v>
      </c>
      <c r="L17" s="463">
        <f>+'５-１あけみず時間'!L17</f>
        <v>1</v>
      </c>
      <c r="M17" s="463">
        <f>+'５-１あけみず時間'!M17</f>
        <v>0</v>
      </c>
      <c r="N17" s="462">
        <f>+'５-１あけみず時間'!N17</f>
        <v>2</v>
      </c>
      <c r="O17" s="463">
        <f>+'５-１あけみず時間'!O17</f>
        <v>0</v>
      </c>
      <c r="P17" s="463">
        <f>+'５-１あけみず時間'!P17</f>
        <v>0</v>
      </c>
      <c r="Q17" s="462">
        <f>+'５-１あけみず時間'!Q17</f>
        <v>0</v>
      </c>
      <c r="R17" s="463">
        <f>+'５-１あけみず時間'!R17</f>
        <v>0</v>
      </c>
      <c r="S17" s="463">
        <f>+'５-１あけみず時間'!S17</f>
        <v>0</v>
      </c>
      <c r="T17" s="462">
        <f>+'５-１あけみず時間'!T17</f>
        <v>1</v>
      </c>
      <c r="U17" s="463">
        <f>+'５-１あけみず時間'!U17</f>
        <v>1</v>
      </c>
      <c r="V17" s="463">
        <f>+'５-１あけみず時間'!V17</f>
        <v>1</v>
      </c>
      <c r="W17" s="462">
        <f>+'５-１あけみず時間'!W17</f>
        <v>1</v>
      </c>
      <c r="X17" s="463">
        <f>+'５-１あけみず時間'!X17</f>
        <v>1</v>
      </c>
      <c r="Y17" s="463">
        <f>+'５-１あけみず時間'!Y17</f>
        <v>0</v>
      </c>
      <c r="Z17" s="462">
        <f>+'５-１あけみず時間'!Z17</f>
        <v>0</v>
      </c>
      <c r="AA17" s="463">
        <f>+'５-１あけみず時間'!AA17</f>
        <v>0</v>
      </c>
      <c r="AB17" s="463">
        <f>+'５-１あけみず時間'!AB17</f>
        <v>0</v>
      </c>
      <c r="AC17" s="462">
        <f>+'５-１あけみず時間'!AC17</f>
        <v>1</v>
      </c>
      <c r="AD17" s="463">
        <f>+'５-１あけみず時間'!AD17</f>
        <v>1</v>
      </c>
      <c r="AE17" s="463">
        <f>+'５-１あけみず時間'!AE17</f>
        <v>1</v>
      </c>
      <c r="AF17" s="462">
        <f>+'５-１あけみず時間'!AF17</f>
        <v>2</v>
      </c>
      <c r="AG17" s="463">
        <f>+'５-１あけみず時間'!AG17</f>
        <v>1</v>
      </c>
      <c r="AH17" s="463">
        <f>+'５-１あけみず時間'!AH17</f>
        <v>1</v>
      </c>
      <c r="AI17" s="466">
        <f>+'５-１あけみず時間'!AI17</f>
        <v>1</v>
      </c>
      <c r="AJ17" s="467">
        <f>+'５-１あけみず時間'!AJ17</f>
        <v>1</v>
      </c>
      <c r="AK17" s="467">
        <f>+'５-１あけみず時間'!AK17</f>
        <v>1</v>
      </c>
      <c r="AL17" s="468">
        <f t="shared" si="0"/>
        <v>19.7</v>
      </c>
    </row>
    <row r="18" spans="1:38">
      <c r="A18" s="469" t="s">
        <v>369</v>
      </c>
      <c r="B18" s="466">
        <f t="shared" ref="B18:AK18" si="1">SUM(B7:B17)</f>
        <v>3.5</v>
      </c>
      <c r="C18" s="470">
        <f t="shared" si="1"/>
        <v>3.5</v>
      </c>
      <c r="D18" s="471">
        <f t="shared" si="1"/>
        <v>3.6</v>
      </c>
      <c r="E18" s="466">
        <f t="shared" si="1"/>
        <v>3.6</v>
      </c>
      <c r="F18" s="470">
        <f t="shared" si="1"/>
        <v>3.6</v>
      </c>
      <c r="G18" s="471">
        <f t="shared" si="1"/>
        <v>3.6</v>
      </c>
      <c r="H18" s="466">
        <f t="shared" si="1"/>
        <v>3.6</v>
      </c>
      <c r="I18" s="470">
        <f t="shared" si="1"/>
        <v>3.6</v>
      </c>
      <c r="J18" s="471">
        <f t="shared" si="1"/>
        <v>4.0999999999999996</v>
      </c>
      <c r="K18" s="466">
        <f t="shared" si="1"/>
        <v>1.75</v>
      </c>
      <c r="L18" s="470">
        <f t="shared" si="1"/>
        <v>4.75</v>
      </c>
      <c r="M18" s="471">
        <f t="shared" si="1"/>
        <v>5.45</v>
      </c>
      <c r="N18" s="466">
        <f t="shared" si="1"/>
        <v>6.15</v>
      </c>
      <c r="O18" s="470">
        <f t="shared" si="1"/>
        <v>8.25</v>
      </c>
      <c r="P18" s="471">
        <f t="shared" si="1"/>
        <v>8.25</v>
      </c>
      <c r="Q18" s="466">
        <f t="shared" si="1"/>
        <v>8.75</v>
      </c>
      <c r="R18" s="470">
        <f t="shared" si="1"/>
        <v>8.25</v>
      </c>
      <c r="S18" s="471">
        <f t="shared" si="1"/>
        <v>10.95</v>
      </c>
      <c r="T18" s="466">
        <f t="shared" si="1"/>
        <v>10.45</v>
      </c>
      <c r="U18" s="470">
        <f t="shared" si="1"/>
        <v>4.6500000000000004</v>
      </c>
      <c r="V18" s="471">
        <f t="shared" si="1"/>
        <v>1.45</v>
      </c>
      <c r="W18" s="466">
        <f t="shared" si="1"/>
        <v>1.45</v>
      </c>
      <c r="X18" s="470">
        <f t="shared" si="1"/>
        <v>1.5</v>
      </c>
      <c r="Y18" s="471">
        <f t="shared" si="1"/>
        <v>35</v>
      </c>
      <c r="Z18" s="466">
        <f t="shared" si="1"/>
        <v>40.75</v>
      </c>
      <c r="AA18" s="470">
        <f t="shared" si="1"/>
        <v>10</v>
      </c>
      <c r="AB18" s="471">
        <f t="shared" si="1"/>
        <v>0</v>
      </c>
      <c r="AC18" s="466">
        <f t="shared" si="1"/>
        <v>1</v>
      </c>
      <c r="AD18" s="470">
        <f t="shared" si="1"/>
        <v>1.25</v>
      </c>
      <c r="AE18" s="471">
        <f t="shared" si="1"/>
        <v>1.9</v>
      </c>
      <c r="AF18" s="466">
        <f t="shared" si="1"/>
        <v>2</v>
      </c>
      <c r="AG18" s="470">
        <f t="shared" si="1"/>
        <v>1</v>
      </c>
      <c r="AH18" s="471">
        <f t="shared" si="1"/>
        <v>1</v>
      </c>
      <c r="AI18" s="466">
        <f t="shared" si="1"/>
        <v>4</v>
      </c>
      <c r="AJ18" s="470">
        <f t="shared" si="1"/>
        <v>4</v>
      </c>
      <c r="AK18" s="471">
        <f t="shared" si="1"/>
        <v>4.5</v>
      </c>
      <c r="AL18" s="468"/>
    </row>
    <row r="19" spans="1:38" ht="14.25" thickBot="1">
      <c r="A19" s="472" t="s">
        <v>370</v>
      </c>
      <c r="B19" s="473"/>
      <c r="C19" s="474">
        <f>SUM(B18:D18)</f>
        <v>10.6</v>
      </c>
      <c r="D19" s="474"/>
      <c r="E19" s="473"/>
      <c r="F19" s="474">
        <f>SUM(E18:G18)</f>
        <v>10.8</v>
      </c>
      <c r="G19" s="474"/>
      <c r="H19" s="473"/>
      <c r="I19" s="474">
        <f>SUM(H18:J18)</f>
        <v>11.3</v>
      </c>
      <c r="J19" s="474"/>
      <c r="K19" s="473"/>
      <c r="L19" s="474">
        <f>SUM(K18:M18)</f>
        <v>11.95</v>
      </c>
      <c r="M19" s="474"/>
      <c r="N19" s="473"/>
      <c r="O19" s="474">
        <f>SUM(N18:P18)</f>
        <v>22.65</v>
      </c>
      <c r="P19" s="474"/>
      <c r="Q19" s="473"/>
      <c r="R19" s="474">
        <f>SUM(Q18:S18)</f>
        <v>27.95</v>
      </c>
      <c r="S19" s="474"/>
      <c r="T19" s="473"/>
      <c r="U19" s="474">
        <f>SUM(T18:V18)</f>
        <v>16.55</v>
      </c>
      <c r="V19" s="474"/>
      <c r="W19" s="473"/>
      <c r="X19" s="474">
        <f>SUM(W18:Y18)</f>
        <v>37.950000000000003</v>
      </c>
      <c r="Y19" s="474"/>
      <c r="Z19" s="473"/>
      <c r="AA19" s="474">
        <f>SUM(Z18:AB18)</f>
        <v>50.75</v>
      </c>
      <c r="AB19" s="474"/>
      <c r="AC19" s="473"/>
      <c r="AD19" s="474">
        <f>SUM(AC18:AE18)</f>
        <v>4.1500000000000004</v>
      </c>
      <c r="AE19" s="474"/>
      <c r="AF19" s="473"/>
      <c r="AG19" s="474">
        <f>SUM(AF18:AH18)</f>
        <v>4</v>
      </c>
      <c r="AH19" s="474"/>
      <c r="AI19" s="473"/>
      <c r="AJ19" s="474">
        <f>SUM(AI18:AK18)</f>
        <v>12.5</v>
      </c>
      <c r="AK19" s="474"/>
      <c r="AL19" s="475">
        <f>SUM(B19:AK19)</f>
        <v>221.15</v>
      </c>
    </row>
  </sheetData>
  <phoneticPr fontId="4"/>
  <conditionalFormatting sqref="B7:AK18">
    <cfRule type="cellIs" dxfId="11" priority="1" operator="equal">
      <formula>0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20"/>
  <sheetViews>
    <sheetView zoomScale="75" zoomScaleNormal="75" zoomScaleSheetLayoutView="75" workbookViewId="0"/>
  </sheetViews>
  <sheetFormatPr defaultRowHeight="13.5"/>
  <cols>
    <col min="1" max="1" width="14.75" customWidth="1"/>
    <col min="2" max="37" width="5.625" customWidth="1"/>
    <col min="38" max="38" width="6.375" customWidth="1"/>
  </cols>
  <sheetData>
    <row r="2" spans="1:38" ht="14.25" thickBot="1">
      <c r="A2" s="23" t="s">
        <v>593</v>
      </c>
      <c r="B2" s="23"/>
      <c r="C2" s="23"/>
      <c r="D2" s="23"/>
      <c r="E2" s="23"/>
      <c r="F2" s="23"/>
      <c r="G2" s="23"/>
      <c r="H2" s="23"/>
      <c r="I2" s="23"/>
      <c r="J2" s="23"/>
      <c r="K2" s="25" t="s">
        <v>188</v>
      </c>
      <c r="L2" s="440" t="s">
        <v>377</v>
      </c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</row>
    <row r="3" spans="1:38">
      <c r="A3" s="443"/>
      <c r="B3" s="444"/>
      <c r="C3" s="445" t="s">
        <v>345</v>
      </c>
      <c r="D3" s="446"/>
      <c r="E3" s="444"/>
      <c r="F3" s="445" t="s">
        <v>346</v>
      </c>
      <c r="G3" s="446"/>
      <c r="H3" s="447" t="s">
        <v>347</v>
      </c>
      <c r="I3" s="445" t="s">
        <v>348</v>
      </c>
      <c r="J3" s="446"/>
      <c r="K3" s="444"/>
      <c r="L3" s="445" t="s">
        <v>349</v>
      </c>
      <c r="M3" s="446"/>
      <c r="N3" s="444"/>
      <c r="O3" s="445" t="s">
        <v>350</v>
      </c>
      <c r="P3" s="446"/>
      <c r="Q3" s="444"/>
      <c r="R3" s="445" t="s">
        <v>351</v>
      </c>
      <c r="S3" s="446"/>
      <c r="T3" s="444"/>
      <c r="U3" s="445" t="s">
        <v>352</v>
      </c>
      <c r="V3" s="446"/>
      <c r="W3" s="444"/>
      <c r="X3" s="445" t="s">
        <v>353</v>
      </c>
      <c r="Y3" s="446"/>
      <c r="Z3" s="444"/>
      <c r="AA3" s="445" t="s">
        <v>354</v>
      </c>
      <c r="AB3" s="446"/>
      <c r="AC3" s="447" t="s">
        <v>347</v>
      </c>
      <c r="AD3" s="446">
        <v>10</v>
      </c>
      <c r="AE3" s="446"/>
      <c r="AF3" s="444"/>
      <c r="AG3" s="446">
        <v>11</v>
      </c>
      <c r="AH3" s="446"/>
      <c r="AI3" s="444"/>
      <c r="AJ3" s="446">
        <v>12</v>
      </c>
      <c r="AK3" s="446"/>
      <c r="AL3" s="448" t="s">
        <v>30</v>
      </c>
    </row>
    <row r="4" spans="1:38">
      <c r="A4" s="449" t="s">
        <v>355</v>
      </c>
      <c r="B4" s="450" t="s">
        <v>31</v>
      </c>
      <c r="C4" s="451" t="s">
        <v>32</v>
      </c>
      <c r="D4" s="451" t="s">
        <v>33</v>
      </c>
      <c r="E4" s="450" t="s">
        <v>31</v>
      </c>
      <c r="F4" s="451" t="s">
        <v>32</v>
      </c>
      <c r="G4" s="451" t="s">
        <v>33</v>
      </c>
      <c r="H4" s="450" t="s">
        <v>31</v>
      </c>
      <c r="I4" s="451" t="s">
        <v>32</v>
      </c>
      <c r="J4" s="451" t="s">
        <v>33</v>
      </c>
      <c r="K4" s="450" t="s">
        <v>31</v>
      </c>
      <c r="L4" s="451" t="s">
        <v>32</v>
      </c>
      <c r="M4" s="451" t="s">
        <v>33</v>
      </c>
      <c r="N4" s="450" t="s">
        <v>31</v>
      </c>
      <c r="O4" s="451" t="s">
        <v>32</v>
      </c>
      <c r="P4" s="451" t="s">
        <v>33</v>
      </c>
      <c r="Q4" s="450" t="s">
        <v>31</v>
      </c>
      <c r="R4" s="452" t="s">
        <v>32</v>
      </c>
      <c r="S4" s="452" t="s">
        <v>33</v>
      </c>
      <c r="T4" s="450" t="s">
        <v>31</v>
      </c>
      <c r="U4" s="451" t="s">
        <v>32</v>
      </c>
      <c r="V4" s="451" t="s">
        <v>33</v>
      </c>
      <c r="W4" s="450" t="s">
        <v>31</v>
      </c>
      <c r="X4" s="451" t="s">
        <v>32</v>
      </c>
      <c r="Y4" s="451" t="s">
        <v>33</v>
      </c>
      <c r="Z4" s="450" t="s">
        <v>31</v>
      </c>
      <c r="AA4" s="451" t="s">
        <v>32</v>
      </c>
      <c r="AB4" s="451" t="s">
        <v>33</v>
      </c>
      <c r="AC4" s="450" t="s">
        <v>31</v>
      </c>
      <c r="AD4" s="451" t="s">
        <v>32</v>
      </c>
      <c r="AE4" s="451" t="s">
        <v>33</v>
      </c>
      <c r="AF4" s="450" t="s">
        <v>31</v>
      </c>
      <c r="AG4" s="451" t="s">
        <v>32</v>
      </c>
      <c r="AH4" s="451" t="s">
        <v>33</v>
      </c>
      <c r="AI4" s="450" t="s">
        <v>31</v>
      </c>
      <c r="AJ4" s="451" t="s">
        <v>32</v>
      </c>
      <c r="AK4" s="451" t="s">
        <v>33</v>
      </c>
      <c r="AL4" s="453"/>
    </row>
    <row r="5" spans="1:38">
      <c r="A5" s="454"/>
      <c r="B5" s="455"/>
      <c r="C5" s="456"/>
      <c r="D5" s="456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6"/>
      <c r="U5" s="456"/>
      <c r="V5" s="456"/>
      <c r="W5" s="456"/>
      <c r="X5" s="456"/>
      <c r="Y5" s="456"/>
      <c r="Z5" s="456"/>
      <c r="AA5" s="456"/>
      <c r="AB5" s="456"/>
      <c r="AC5" s="456"/>
      <c r="AD5" s="456"/>
      <c r="AE5" s="456"/>
      <c r="AF5" s="456"/>
      <c r="AG5" s="456"/>
      <c r="AH5" s="456"/>
      <c r="AI5" s="456"/>
      <c r="AJ5" s="456"/>
      <c r="AK5" s="456"/>
      <c r="AL5" s="549"/>
    </row>
    <row r="6" spans="1:38">
      <c r="A6" s="454" t="s">
        <v>356</v>
      </c>
      <c r="B6" s="455"/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456" t="s">
        <v>357</v>
      </c>
      <c r="N6" s="456"/>
      <c r="O6" s="456"/>
      <c r="P6" s="456"/>
      <c r="Q6" s="456"/>
      <c r="R6" s="456"/>
      <c r="S6" s="456"/>
      <c r="T6" s="456"/>
      <c r="U6" s="456"/>
      <c r="V6" s="456"/>
      <c r="W6" s="456"/>
      <c r="X6" s="458"/>
      <c r="Y6" s="476"/>
      <c r="Z6" s="476"/>
      <c r="AA6" s="457"/>
      <c r="AB6" s="457"/>
      <c r="AC6" s="457"/>
      <c r="AD6" s="458"/>
      <c r="AE6" s="458"/>
      <c r="AF6" s="456"/>
      <c r="AG6" s="456"/>
      <c r="AH6" s="456"/>
      <c r="AI6" s="456"/>
      <c r="AJ6" s="456"/>
      <c r="AK6" s="456"/>
      <c r="AL6" s="550"/>
    </row>
    <row r="7" spans="1:38">
      <c r="A7" s="449"/>
      <c r="B7" s="450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52"/>
      <c r="V7" s="452"/>
      <c r="W7" s="452"/>
      <c r="X7" s="452"/>
      <c r="Y7" s="452"/>
      <c r="Z7" s="452"/>
      <c r="AA7" s="452"/>
      <c r="AB7" s="452"/>
      <c r="AC7" s="452"/>
      <c r="AD7" s="452"/>
      <c r="AE7" s="452"/>
      <c r="AF7" s="452"/>
      <c r="AG7" s="452"/>
      <c r="AH7" s="452"/>
      <c r="AI7" s="452"/>
      <c r="AJ7" s="452"/>
      <c r="AK7" s="452"/>
      <c r="AL7" s="551"/>
    </row>
    <row r="8" spans="1:38">
      <c r="A8" s="459" t="s">
        <v>358</v>
      </c>
      <c r="B8" s="460">
        <f>+'５-１あけみず時間'!B7</f>
        <v>3.5</v>
      </c>
      <c r="C8" s="461">
        <f>+'５-１あけみず時間'!C7</f>
        <v>3.5</v>
      </c>
      <c r="D8" s="461">
        <f>+'５-１あけみず時間'!D7</f>
        <v>3.5</v>
      </c>
      <c r="E8" s="462">
        <f>+'５-１あけみず時間'!E7</f>
        <v>3.5</v>
      </c>
      <c r="F8" s="463">
        <f>+'５-１あけみず時間'!F7</f>
        <v>3.5</v>
      </c>
      <c r="G8" s="463">
        <f>+'５-１あけみず時間'!G7</f>
        <v>3.5</v>
      </c>
      <c r="H8" s="462">
        <f>+'５-１あけみず時間'!H7</f>
        <v>3.5</v>
      </c>
      <c r="I8" s="463">
        <f>+'５-１あけみず時間'!I7</f>
        <v>3.5</v>
      </c>
      <c r="J8" s="463">
        <f>+'５-１あけみず時間'!J7</f>
        <v>3.5</v>
      </c>
      <c r="K8" s="462">
        <f>+'５-１あけみず時間'!K7</f>
        <v>0</v>
      </c>
      <c r="L8" s="463">
        <f>+'５-１あけみず時間'!L7</f>
        <v>0</v>
      </c>
      <c r="M8" s="463">
        <f>+'５-１あけみず時間'!M7</f>
        <v>0</v>
      </c>
      <c r="N8" s="462">
        <f>+'５-１あけみず時間'!N7</f>
        <v>0</v>
      </c>
      <c r="O8" s="463">
        <f>+'５-１あけみず時間'!O7</f>
        <v>0</v>
      </c>
      <c r="P8" s="463">
        <f>+'５-１あけみず時間'!P7</f>
        <v>0</v>
      </c>
      <c r="Q8" s="462">
        <f>+'５-１あけみず時間'!Q7</f>
        <v>0</v>
      </c>
      <c r="R8" s="463">
        <f>+'５-１あけみず時間'!R7</f>
        <v>0</v>
      </c>
      <c r="S8" s="463">
        <f>+'５-１あけみず時間'!S7</f>
        <v>0</v>
      </c>
      <c r="T8" s="462">
        <f>+'５-１あけみず時間'!T7</f>
        <v>0</v>
      </c>
      <c r="U8" s="463">
        <f>+'５-１あけみず時間'!U7</f>
        <v>0</v>
      </c>
      <c r="V8" s="463">
        <f>+'５-１あけみず時間'!V7</f>
        <v>0</v>
      </c>
      <c r="W8" s="462">
        <f>+'５-１あけみず時間'!W7</f>
        <v>0</v>
      </c>
      <c r="X8" s="463">
        <f>+'５-１あけみず時間'!X7</f>
        <v>0</v>
      </c>
      <c r="Y8" s="463">
        <f>+'５-１あけみず時間'!Y7</f>
        <v>0</v>
      </c>
      <c r="Z8" s="462">
        <f>+'５-１あけみず時間'!Z7</f>
        <v>0</v>
      </c>
      <c r="AA8" s="463">
        <f>+'５-１あけみず時間'!AA7</f>
        <v>0</v>
      </c>
      <c r="AB8" s="463">
        <f>+'５-１あけみず時間'!AB7</f>
        <v>0</v>
      </c>
      <c r="AC8" s="462">
        <f>+'５-１あけみず時間'!AC7</f>
        <v>0</v>
      </c>
      <c r="AD8" s="463">
        <f>+'５-１あけみず時間'!AD7</f>
        <v>0</v>
      </c>
      <c r="AE8" s="463">
        <f>+'５-１あけみず時間'!AE7</f>
        <v>0</v>
      </c>
      <c r="AF8" s="462">
        <f>+'５-１あけみず時間'!AF7</f>
        <v>0</v>
      </c>
      <c r="AG8" s="463">
        <f>+'５-１あけみず時間'!AG7</f>
        <v>0</v>
      </c>
      <c r="AH8" s="463">
        <f>+'５-１あけみず時間'!AH7</f>
        <v>0</v>
      </c>
      <c r="AI8" s="462">
        <f>+'５-１あけみず時間'!AI7</f>
        <v>3</v>
      </c>
      <c r="AJ8" s="463">
        <f>+'５-１あけみず時間'!AJ7</f>
        <v>3</v>
      </c>
      <c r="AK8" s="463">
        <f>+'５-１あけみず時間'!AK7</f>
        <v>3.5</v>
      </c>
      <c r="AL8" s="547">
        <f t="shared" ref="AL8:AL18" si="0">SUM(B8:AK8)</f>
        <v>41</v>
      </c>
    </row>
    <row r="9" spans="1:38">
      <c r="A9" s="465" t="s">
        <v>359</v>
      </c>
      <c r="B9" s="466">
        <f>+'５-１あけみず時間'!B8</f>
        <v>0</v>
      </c>
      <c r="C9" s="467">
        <f>+'５-１あけみず時間'!C8</f>
        <v>0</v>
      </c>
      <c r="D9" s="467">
        <f>+'５-１あけみず時間'!D8</f>
        <v>0</v>
      </c>
      <c r="E9" s="462">
        <f>+'５-１あけみず時間'!E8</f>
        <v>0</v>
      </c>
      <c r="F9" s="463">
        <f>+'５-１あけみず時間'!F8</f>
        <v>0</v>
      </c>
      <c r="G9" s="463">
        <f>+'５-１あけみず時間'!G8</f>
        <v>0</v>
      </c>
      <c r="H9" s="462">
        <f>+'５-１あけみず時間'!H8</f>
        <v>0</v>
      </c>
      <c r="I9" s="463">
        <f>+'５-１あけみず時間'!I8</f>
        <v>0</v>
      </c>
      <c r="J9" s="463">
        <f>+'５-１あけみず時間'!J8</f>
        <v>0.5</v>
      </c>
      <c r="K9" s="462">
        <f>+'５-１あけみず時間'!K8</f>
        <v>0</v>
      </c>
      <c r="L9" s="463">
        <f>+'５-１あけみず時間'!L8</f>
        <v>0</v>
      </c>
      <c r="M9" s="463">
        <f>+'５-１あけみず時間'!M8</f>
        <v>0</v>
      </c>
      <c r="N9" s="462">
        <f>+'５-１あけみず時間'!N8</f>
        <v>0</v>
      </c>
      <c r="O9" s="463">
        <f>+'５-１あけみず時間'!O8</f>
        <v>0</v>
      </c>
      <c r="P9" s="463">
        <f>+'５-１あけみず時間'!P8</f>
        <v>0</v>
      </c>
      <c r="Q9" s="462">
        <f>+'５-１あけみず時間'!Q8</f>
        <v>0</v>
      </c>
      <c r="R9" s="463">
        <f>+'５-１あけみず時間'!R8</f>
        <v>0</v>
      </c>
      <c r="S9" s="463">
        <f>+'５-１あけみず時間'!S8</f>
        <v>0</v>
      </c>
      <c r="T9" s="462">
        <f>+'５-１あけみず時間'!T8</f>
        <v>0.5</v>
      </c>
      <c r="U9" s="463">
        <f>+'５-１あけみず時間'!U8</f>
        <v>0</v>
      </c>
      <c r="V9" s="463">
        <f>+'５-１あけみず時間'!V8</f>
        <v>0</v>
      </c>
      <c r="W9" s="462">
        <f>+'５-１あけみず時間'!W8</f>
        <v>0</v>
      </c>
      <c r="X9" s="463">
        <f>+'５-１あけみず時間'!X8</f>
        <v>0</v>
      </c>
      <c r="Y9" s="463">
        <f>+'５-１あけみず時間'!Y8</f>
        <v>0</v>
      </c>
      <c r="Z9" s="462">
        <f>+'５-１あけみず時間'!Z8</f>
        <v>0.5</v>
      </c>
      <c r="AA9" s="463">
        <f>+'５-１あけみず時間'!AA8</f>
        <v>0</v>
      </c>
      <c r="AB9" s="463">
        <f>+'５-１あけみず時間'!AB8</f>
        <v>0</v>
      </c>
      <c r="AC9" s="462">
        <f>+'５-１あけみず時間'!AC8</f>
        <v>0</v>
      </c>
      <c r="AD9" s="463">
        <f>+'５-１あけみず時間'!AD8</f>
        <v>0</v>
      </c>
      <c r="AE9" s="463">
        <f>+'５-１あけみず時間'!AE8</f>
        <v>0.9</v>
      </c>
      <c r="AF9" s="462">
        <f>+'５-１あけみず時間'!AF8</f>
        <v>0</v>
      </c>
      <c r="AG9" s="463">
        <f>+'５-１あけみず時間'!AG8</f>
        <v>0</v>
      </c>
      <c r="AH9" s="463">
        <f>+'５-１あけみず時間'!AH8</f>
        <v>0</v>
      </c>
      <c r="AI9" s="462">
        <f>+'５-１あけみず時間'!AI8</f>
        <v>0</v>
      </c>
      <c r="AJ9" s="463">
        <f>+'５-１あけみず時間'!AJ8</f>
        <v>0</v>
      </c>
      <c r="AK9" s="463">
        <f>+'５-１あけみず時間'!AK8</f>
        <v>0</v>
      </c>
      <c r="AL9" s="468">
        <f t="shared" si="0"/>
        <v>2.4</v>
      </c>
    </row>
    <row r="10" spans="1:38">
      <c r="A10" s="465" t="s">
        <v>360</v>
      </c>
      <c r="B10" s="466">
        <f>+'５-１あけみず時間'!B9</f>
        <v>0</v>
      </c>
      <c r="C10" s="467">
        <f>+'５-１あけみず時間'!C9</f>
        <v>0</v>
      </c>
      <c r="D10" s="467">
        <f>+'５-１あけみず時間'!D9</f>
        <v>0</v>
      </c>
      <c r="E10" s="462">
        <f>+'５-１あけみず時間'!E9</f>
        <v>0</v>
      </c>
      <c r="F10" s="463">
        <f>+'５-１あけみず時間'!F9</f>
        <v>0</v>
      </c>
      <c r="G10" s="463">
        <f>+'５-１あけみず時間'!G9</f>
        <v>0</v>
      </c>
      <c r="H10" s="462" t="str">
        <f>+'５-１あけみず時間'!H9</f>
        <v>　</v>
      </c>
      <c r="I10" s="463">
        <f>+'５-１あけみず時間'!I9</f>
        <v>0</v>
      </c>
      <c r="J10" s="463">
        <f>+'５-１あけみず時間'!J9</f>
        <v>0</v>
      </c>
      <c r="K10" s="462">
        <f>+'５-１あけみず時間'!K9</f>
        <v>0.25</v>
      </c>
      <c r="L10" s="463">
        <f>+'５-１あけみず時間'!L9</f>
        <v>0.25</v>
      </c>
      <c r="M10" s="463">
        <f>+'５-１あけみず時間'!M9</f>
        <v>0.25</v>
      </c>
      <c r="N10" s="462">
        <f>+'５-１あけみず時間'!N9</f>
        <v>0.25</v>
      </c>
      <c r="O10" s="463">
        <f>+'５-１あけみず時間'!O9</f>
        <v>0.25</v>
      </c>
      <c r="P10" s="463">
        <f>+'５-１あけみず時間'!P9</f>
        <v>0.25</v>
      </c>
      <c r="Q10" s="462">
        <f>+'５-１あけみず時間'!Q9</f>
        <v>0.25</v>
      </c>
      <c r="R10" s="463">
        <f>+'５-１あけみず時間'!R9</f>
        <v>0.25</v>
      </c>
      <c r="S10" s="463">
        <f>+'５-１あけみず時間'!S9</f>
        <v>0.25</v>
      </c>
      <c r="T10" s="462">
        <f>+'５-１あけみず時間'!T9</f>
        <v>0.25</v>
      </c>
      <c r="U10" s="463">
        <f>+'５-１あけみず時間'!U9</f>
        <v>0.25</v>
      </c>
      <c r="V10" s="463">
        <f>+'５-１あけみず時間'!V9</f>
        <v>0.25</v>
      </c>
      <c r="W10" s="462">
        <f>+'５-１あけみず時間'!W9</f>
        <v>0.25</v>
      </c>
      <c r="X10" s="463">
        <f>+'５-１あけみず時間'!X9</f>
        <v>0</v>
      </c>
      <c r="Y10" s="463">
        <f>+'５-１あけみず時間'!Y9</f>
        <v>0</v>
      </c>
      <c r="Z10" s="462">
        <f>+'５-１あけみず時間'!Z9</f>
        <v>0.25</v>
      </c>
      <c r="AA10" s="463">
        <f>+'５-１あけみず時間'!AA9</f>
        <v>0</v>
      </c>
      <c r="AB10" s="463" t="str">
        <f>+'５-１あけみず時間'!AB9</f>
        <v>　</v>
      </c>
      <c r="AC10" s="462">
        <f>+'５-１あけみず時間'!AC9</f>
        <v>0</v>
      </c>
      <c r="AD10" s="463">
        <f>+'５-１あけみず時間'!AD9</f>
        <v>0.25</v>
      </c>
      <c r="AE10" s="463">
        <f>+'５-１あけみず時間'!AE9</f>
        <v>0</v>
      </c>
      <c r="AF10" s="462">
        <f>+'５-１あけみず時間'!AF9</f>
        <v>0</v>
      </c>
      <c r="AG10" s="463">
        <f>+'５-１あけみず時間'!AG9</f>
        <v>0</v>
      </c>
      <c r="AH10" s="463">
        <f>+'５-１あけみず時間'!AH9</f>
        <v>0</v>
      </c>
      <c r="AI10" s="462">
        <f>+'５-１あけみず時間'!AI9</f>
        <v>0</v>
      </c>
      <c r="AJ10" s="463">
        <f>+'５-１あけみず時間'!AJ9</f>
        <v>0</v>
      </c>
      <c r="AK10" s="463">
        <f>+'５-１あけみず時間'!AK9</f>
        <v>0</v>
      </c>
      <c r="AL10" s="468">
        <f t="shared" si="0"/>
        <v>3.75</v>
      </c>
    </row>
    <row r="11" spans="1:38">
      <c r="A11" s="465" t="s">
        <v>361</v>
      </c>
      <c r="B11" s="466">
        <f>+'５-１あけみず時間'!B10</f>
        <v>0</v>
      </c>
      <c r="C11" s="467">
        <f>+'５-１あけみず時間'!C10</f>
        <v>0</v>
      </c>
      <c r="D11" s="467">
        <f>+'５-１あけみず時間'!D10</f>
        <v>0</v>
      </c>
      <c r="E11" s="462">
        <f>+'５-１あけみず時間'!E10</f>
        <v>0</v>
      </c>
      <c r="F11" s="463">
        <f>+'５-１あけみず時間'!F10</f>
        <v>0</v>
      </c>
      <c r="G11" s="463">
        <f>+'５-１あけみず時間'!G10</f>
        <v>0</v>
      </c>
      <c r="H11" s="462">
        <f>+'５-１あけみず時間'!H10</f>
        <v>0</v>
      </c>
      <c r="I11" s="463">
        <f>+'５-１あけみず時間'!I10</f>
        <v>0</v>
      </c>
      <c r="J11" s="463">
        <f>+'５-１あけみず時間'!J10</f>
        <v>0</v>
      </c>
      <c r="K11" s="462">
        <f>+'５-１あけみず時間'!K10</f>
        <v>0</v>
      </c>
      <c r="L11" s="463">
        <f>+'５-１あけみず時間'!L10</f>
        <v>3.5</v>
      </c>
      <c r="M11" s="463">
        <f>+'５-１あけみず時間'!M10</f>
        <v>4</v>
      </c>
      <c r="N11" s="462">
        <f>+'５-１あけみず時間'!N10</f>
        <v>0</v>
      </c>
      <c r="O11" s="463">
        <f>+'５-１あけみず時間'!O10</f>
        <v>0</v>
      </c>
      <c r="P11" s="463">
        <f>+'５-１あけみず時間'!P10</f>
        <v>0</v>
      </c>
      <c r="Q11" s="462">
        <f>+'５-１あけみず時間'!Q10</f>
        <v>0</v>
      </c>
      <c r="R11" s="463">
        <f>+'５-１あけみず時間'!R10</f>
        <v>0</v>
      </c>
      <c r="S11" s="463">
        <f>+'５-１あけみず時間'!S10</f>
        <v>0</v>
      </c>
      <c r="T11" s="462">
        <f>+'５-１あけみず時間'!T10</f>
        <v>0</v>
      </c>
      <c r="U11" s="463">
        <f>+'５-１あけみず時間'!U10</f>
        <v>0</v>
      </c>
      <c r="V11" s="463">
        <f>+'５-１あけみず時間'!V10</f>
        <v>0</v>
      </c>
      <c r="W11" s="462">
        <f>+'５-１あけみず時間'!W10</f>
        <v>0</v>
      </c>
      <c r="X11" s="463">
        <f>+'５-１あけみず時間'!X10</f>
        <v>0</v>
      </c>
      <c r="Y11" s="463">
        <f>+'５-１あけみず時間'!Y10</f>
        <v>0</v>
      </c>
      <c r="Z11" s="462">
        <f>+'５-１あけみず時間'!Z10</f>
        <v>0</v>
      </c>
      <c r="AA11" s="463">
        <f>+'５-１あけみず時間'!AA10</f>
        <v>0</v>
      </c>
      <c r="AB11" s="463">
        <f>+'５-１あけみず時間'!AB10</f>
        <v>0</v>
      </c>
      <c r="AC11" s="462">
        <f>+'５-１あけみず時間'!AC10</f>
        <v>0</v>
      </c>
      <c r="AD11" s="463">
        <f>+'５-１あけみず時間'!AD10</f>
        <v>0</v>
      </c>
      <c r="AE11" s="463">
        <f>+'５-１あけみず時間'!AE10</f>
        <v>0</v>
      </c>
      <c r="AF11" s="462">
        <f>+'５-１あけみず時間'!AF10</f>
        <v>0</v>
      </c>
      <c r="AG11" s="463">
        <f>+'５-１あけみず時間'!AG10</f>
        <v>0</v>
      </c>
      <c r="AH11" s="463">
        <f>+'５-１あけみず時間'!AH10</f>
        <v>0</v>
      </c>
      <c r="AI11" s="462">
        <f>+'５-１あけみず時間'!AI10</f>
        <v>0</v>
      </c>
      <c r="AJ11" s="463">
        <f>+'５-１あけみず時間'!AJ10</f>
        <v>0</v>
      </c>
      <c r="AK11" s="463">
        <f>+'５-１あけみず時間'!AK10</f>
        <v>0</v>
      </c>
      <c r="AL11" s="468">
        <f t="shared" si="0"/>
        <v>7.5</v>
      </c>
    </row>
    <row r="12" spans="1:38">
      <c r="A12" s="465" t="s">
        <v>362</v>
      </c>
      <c r="B12" s="466">
        <f>+'５-１あけみず時間'!B11</f>
        <v>0</v>
      </c>
      <c r="C12" s="467">
        <f>+'５-１あけみず時間'!C11</f>
        <v>0</v>
      </c>
      <c r="D12" s="467">
        <f>+'５-１あけみず時間'!D11</f>
        <v>0</v>
      </c>
      <c r="E12" s="462">
        <f>+'５-１あけみず時間'!E11</f>
        <v>0</v>
      </c>
      <c r="F12" s="463">
        <f>+'５-１あけみず時間'!F11</f>
        <v>0</v>
      </c>
      <c r="G12" s="463">
        <f>+'５-１あけみず時間'!G11</f>
        <v>0</v>
      </c>
      <c r="H12" s="462">
        <f>+'５-１あけみず時間'!H11</f>
        <v>0</v>
      </c>
      <c r="I12" s="463">
        <f>+'５-１あけみず時間'!I11</f>
        <v>0</v>
      </c>
      <c r="J12" s="463">
        <f>+'５-１あけみず時間'!J11</f>
        <v>0</v>
      </c>
      <c r="K12" s="462">
        <f>+'５-１あけみず時間'!K11</f>
        <v>0</v>
      </c>
      <c r="L12" s="463">
        <f>+'５-１あけみず時間'!L11</f>
        <v>0</v>
      </c>
      <c r="M12" s="463">
        <f>+'５-１あけみず時間'!M11</f>
        <v>1.2</v>
      </c>
      <c r="N12" s="462">
        <f>+'５-１あけみず時間'!N11</f>
        <v>0</v>
      </c>
      <c r="O12" s="463">
        <f>+'５-１あけみず時間'!O11</f>
        <v>0</v>
      </c>
      <c r="P12" s="463">
        <f>+'５-１あけみず時間'!P11</f>
        <v>0</v>
      </c>
      <c r="Q12" s="462">
        <f>+'５-１あけみず時間'!Q11</f>
        <v>0</v>
      </c>
      <c r="R12" s="463">
        <f>+'５-１あけみず時間'!R11</f>
        <v>0</v>
      </c>
      <c r="S12" s="463">
        <f>+'５-１あけみず時間'!S11</f>
        <v>0</v>
      </c>
      <c r="T12" s="462">
        <f>+'５-１あけみず時間'!T11</f>
        <v>0</v>
      </c>
      <c r="U12" s="463">
        <f>+'５-１あけみず時間'!U11</f>
        <v>0</v>
      </c>
      <c r="V12" s="463">
        <f>+'５-１あけみず時間'!V11</f>
        <v>0</v>
      </c>
      <c r="W12" s="462">
        <f>+'５-１あけみず時間'!W11</f>
        <v>0</v>
      </c>
      <c r="X12" s="463">
        <f>+'５-１あけみず時間'!X11</f>
        <v>0</v>
      </c>
      <c r="Y12" s="463">
        <f>+'５-１あけみず時間'!Y11</f>
        <v>0</v>
      </c>
      <c r="Z12" s="462">
        <f>+'５-１あけみず時間'!Z11</f>
        <v>0</v>
      </c>
      <c r="AA12" s="463">
        <f>+'５-１あけみず時間'!AA11</f>
        <v>0</v>
      </c>
      <c r="AB12" s="463">
        <f>+'５-１あけみず時間'!AB11</f>
        <v>0</v>
      </c>
      <c r="AC12" s="462">
        <f>+'５-１あけみず時間'!AC11</f>
        <v>0</v>
      </c>
      <c r="AD12" s="463">
        <f>+'５-１あけみず時間'!AD11</f>
        <v>0</v>
      </c>
      <c r="AE12" s="463">
        <f>+'５-１あけみず時間'!AE11</f>
        <v>0</v>
      </c>
      <c r="AF12" s="462">
        <f>+'５-１あけみず時間'!AF11</f>
        <v>0</v>
      </c>
      <c r="AG12" s="463">
        <f>+'５-１あけみず時間'!AG11</f>
        <v>0</v>
      </c>
      <c r="AH12" s="463">
        <f>+'５-１あけみず時間'!AH11</f>
        <v>0</v>
      </c>
      <c r="AI12" s="462">
        <f>+'５-１あけみず時間'!AI11</f>
        <v>0</v>
      </c>
      <c r="AJ12" s="463">
        <f>+'５-１あけみず時間'!AJ11</f>
        <v>0</v>
      </c>
      <c r="AK12" s="463">
        <f>+'５-１あけみず時間'!AK11</f>
        <v>0</v>
      </c>
      <c r="AL12" s="468">
        <f t="shared" si="0"/>
        <v>1.2</v>
      </c>
    </row>
    <row r="13" spans="1:38">
      <c r="A13" s="465" t="s">
        <v>363</v>
      </c>
      <c r="B13" s="466">
        <f>+'５-１あけみず時間'!B12</f>
        <v>0</v>
      </c>
      <c r="C13" s="467">
        <f>+'５-１あけみず時間'!C12</f>
        <v>0</v>
      </c>
      <c r="D13" s="467">
        <f>+'５-１あけみず時間'!D12</f>
        <v>0</v>
      </c>
      <c r="E13" s="462">
        <f>+'５-１あけみず時間'!E12</f>
        <v>0</v>
      </c>
      <c r="F13" s="463">
        <f>+'５-１あけみず時間'!F12</f>
        <v>0</v>
      </c>
      <c r="G13" s="463">
        <f>+'５-１あけみず時間'!G12</f>
        <v>0</v>
      </c>
      <c r="H13" s="462">
        <f>+'５-１あけみず時間'!H12</f>
        <v>0</v>
      </c>
      <c r="I13" s="463">
        <f>+'５-１あけみず時間'!I12</f>
        <v>0</v>
      </c>
      <c r="J13" s="463">
        <f>+'５-１あけみず時間'!J12</f>
        <v>0</v>
      </c>
      <c r="K13" s="462">
        <f>+'５-１あけみず時間'!K12</f>
        <v>0</v>
      </c>
      <c r="L13" s="463">
        <f>+'５-１あけみず時間'!L12</f>
        <v>0</v>
      </c>
      <c r="M13" s="463">
        <f>+'５-１あけみず時間'!M12</f>
        <v>0</v>
      </c>
      <c r="N13" s="462">
        <f>+'５-１あけみず時間'!N12</f>
        <v>0.4</v>
      </c>
      <c r="O13" s="463">
        <f>+'５-１あけみず時間'!O12</f>
        <v>0</v>
      </c>
      <c r="P13" s="463">
        <f>+'５-１あけみず時間'!P12</f>
        <v>0</v>
      </c>
      <c r="Q13" s="462">
        <f>+'５-１あけみず時間'!Q12</f>
        <v>0</v>
      </c>
      <c r="R13" s="463">
        <f>+'５-１あけみず時間'!R12</f>
        <v>0</v>
      </c>
      <c r="S13" s="463">
        <f>+'５-１あけみず時間'!S12</f>
        <v>0</v>
      </c>
      <c r="T13" s="462">
        <f>+'５-１あけみず時間'!T12</f>
        <v>0</v>
      </c>
      <c r="U13" s="463">
        <f>+'５-１あけみず時間'!U12</f>
        <v>0</v>
      </c>
      <c r="V13" s="463">
        <f>+'５-１あけみず時間'!V12</f>
        <v>0.2</v>
      </c>
      <c r="W13" s="462">
        <f>+'５-１あけみず時間'!W12</f>
        <v>0.2</v>
      </c>
      <c r="X13" s="463">
        <f>+'５-１あけみず時間'!X12</f>
        <v>0.1</v>
      </c>
      <c r="Y13" s="463">
        <f>+'５-１あけみず時間'!Y12</f>
        <v>0</v>
      </c>
      <c r="Z13" s="462">
        <f>+'５-１あけみず時間'!Z12</f>
        <v>0</v>
      </c>
      <c r="AA13" s="463">
        <f>+'５-１あけみず時間'!AA12</f>
        <v>0</v>
      </c>
      <c r="AB13" s="463">
        <f>+'５-１あけみず時間'!AB12</f>
        <v>0</v>
      </c>
      <c r="AC13" s="462">
        <f>+'５-１あけみず時間'!AC12</f>
        <v>0</v>
      </c>
      <c r="AD13" s="463">
        <f>+'５-１あけみず時間'!AD12</f>
        <v>0</v>
      </c>
      <c r="AE13" s="463">
        <f>+'５-１あけみず時間'!AE12</f>
        <v>0</v>
      </c>
      <c r="AF13" s="462">
        <f>+'５-１あけみず時間'!AF12</f>
        <v>0</v>
      </c>
      <c r="AG13" s="463">
        <f>+'５-１あけみず時間'!AG12</f>
        <v>0</v>
      </c>
      <c r="AH13" s="463">
        <f>+'５-１あけみず時間'!AH12</f>
        <v>0</v>
      </c>
      <c r="AI13" s="462">
        <f>+'５-１あけみず時間'!AI12</f>
        <v>0</v>
      </c>
      <c r="AJ13" s="463">
        <f>+'５-１あけみず時間'!AJ12</f>
        <v>0</v>
      </c>
      <c r="AK13" s="463">
        <f>+'５-１あけみず時間'!AK12</f>
        <v>0</v>
      </c>
      <c r="AL13" s="468">
        <f t="shared" si="0"/>
        <v>0.9</v>
      </c>
    </row>
    <row r="14" spans="1:38">
      <c r="A14" s="465" t="s">
        <v>364</v>
      </c>
      <c r="B14" s="466">
        <f>+'５-１あけみず時間'!B13</f>
        <v>0</v>
      </c>
      <c r="C14" s="467">
        <f>+'５-１あけみず時間'!C13</f>
        <v>0</v>
      </c>
      <c r="D14" s="467">
        <f>+'５-１あけみず時間'!D13</f>
        <v>0</v>
      </c>
      <c r="E14" s="462">
        <f>+'５-１あけみず時間'!E13</f>
        <v>0</v>
      </c>
      <c r="F14" s="463">
        <f>+'５-１あけみず時間'!F13</f>
        <v>0</v>
      </c>
      <c r="G14" s="463">
        <f>+'５-１あけみず時間'!G13</f>
        <v>0</v>
      </c>
      <c r="H14" s="462">
        <f>+'５-１あけみず時間'!H13</f>
        <v>0</v>
      </c>
      <c r="I14" s="463">
        <f>+'５-１あけみず時間'!I13</f>
        <v>0</v>
      </c>
      <c r="J14" s="463">
        <f>+'５-１あけみず時間'!J13</f>
        <v>0</v>
      </c>
      <c r="K14" s="462">
        <f>+'５-１あけみず時間'!K13</f>
        <v>0</v>
      </c>
      <c r="L14" s="463">
        <f>+'５-１あけみず時間'!L13</f>
        <v>0</v>
      </c>
      <c r="M14" s="463">
        <f>+'５-１あけみず時間'!M13</f>
        <v>0</v>
      </c>
      <c r="N14" s="462">
        <f>+'５-１あけみず時間'!N13</f>
        <v>3</v>
      </c>
      <c r="O14" s="463">
        <f>+'５-１あけみず時間'!O13</f>
        <v>8</v>
      </c>
      <c r="P14" s="463">
        <f>+'５-１あけみず時間'!P13</f>
        <v>8</v>
      </c>
      <c r="Q14" s="462">
        <f>+'５-１あけみず時間'!Q13</f>
        <v>8</v>
      </c>
      <c r="R14" s="463">
        <f>+'５-１あけみず時間'!R13</f>
        <v>8</v>
      </c>
      <c r="S14" s="463">
        <f>+'５-１あけみず時間'!S13</f>
        <v>8</v>
      </c>
      <c r="T14" s="462">
        <f>+'５-１あけみず時間'!T13</f>
        <v>6</v>
      </c>
      <c r="U14" s="463">
        <f>+'５-１あけみず時間'!U13</f>
        <v>3</v>
      </c>
      <c r="V14" s="463">
        <f>+'５-１あけみず時間'!V13</f>
        <v>0</v>
      </c>
      <c r="W14" s="462">
        <f>+'５-１あけみず時間'!W13</f>
        <v>0</v>
      </c>
      <c r="X14" s="463">
        <f>+'５-１あけみず時間'!X13</f>
        <v>0</v>
      </c>
      <c r="Y14" s="463">
        <f>+'５-１あけみず時間'!Y13</f>
        <v>0</v>
      </c>
      <c r="Z14" s="462">
        <f>+'５-１あけみず時間'!Z13</f>
        <v>0</v>
      </c>
      <c r="AA14" s="463">
        <f>+'５-１あけみず時間'!AA13</f>
        <v>0</v>
      </c>
      <c r="AB14" s="463">
        <f>+'５-１あけみず時間'!AB13</f>
        <v>0</v>
      </c>
      <c r="AC14" s="462">
        <f>+'５-１あけみず時間'!AC13</f>
        <v>0</v>
      </c>
      <c r="AD14" s="463">
        <f>+'５-１あけみず時間'!AD13</f>
        <v>0</v>
      </c>
      <c r="AE14" s="463">
        <f>+'５-１あけみず時間'!AE13</f>
        <v>0</v>
      </c>
      <c r="AF14" s="462">
        <f>+'５-１あけみず時間'!AF13</f>
        <v>0</v>
      </c>
      <c r="AG14" s="463">
        <f>+'５-１あけみず時間'!AG13</f>
        <v>0</v>
      </c>
      <c r="AH14" s="463">
        <f>+'５-１あけみず時間'!AH13</f>
        <v>0</v>
      </c>
      <c r="AI14" s="462">
        <f>+'５-１あけみず時間'!AI13</f>
        <v>0</v>
      </c>
      <c r="AJ14" s="463">
        <f>+'５-１あけみず時間'!AJ13</f>
        <v>0</v>
      </c>
      <c r="AK14" s="463">
        <f>+'５-１あけみず時間'!AK13</f>
        <v>0</v>
      </c>
      <c r="AL14" s="468">
        <f t="shared" si="0"/>
        <v>52</v>
      </c>
    </row>
    <row r="15" spans="1:38">
      <c r="A15" s="465" t="s">
        <v>365</v>
      </c>
      <c r="B15" s="466">
        <f>+'５-１あけみず時間'!B14</f>
        <v>0</v>
      </c>
      <c r="C15" s="467">
        <f>+'５-１あけみず時間'!C14</f>
        <v>0</v>
      </c>
      <c r="D15" s="467">
        <f>+'５-１あけみず時間'!D14</f>
        <v>0</v>
      </c>
      <c r="E15" s="462">
        <f>+'５-１あけみず時間'!E14</f>
        <v>0</v>
      </c>
      <c r="F15" s="463">
        <f>+'５-１あけみず時間'!F14</f>
        <v>0</v>
      </c>
      <c r="G15" s="463">
        <f>+'５-１あけみず時間'!G14</f>
        <v>0</v>
      </c>
      <c r="H15" s="462">
        <f>+'５-１あけみず時間'!H14</f>
        <v>0</v>
      </c>
      <c r="I15" s="463">
        <f>+'５-１あけみず時間'!I14</f>
        <v>0</v>
      </c>
      <c r="J15" s="463">
        <f>+'５-１あけみず時間'!J14</f>
        <v>0</v>
      </c>
      <c r="K15" s="462">
        <f>+'５-１あけみず時間'!K14</f>
        <v>0.5</v>
      </c>
      <c r="L15" s="463">
        <f>+'５-１あけみず時間'!L14</f>
        <v>0</v>
      </c>
      <c r="M15" s="463">
        <f>+'５-１あけみず時間'!M14</f>
        <v>0</v>
      </c>
      <c r="N15" s="462">
        <f>+'５-１あけみず時間'!N14</f>
        <v>0.5</v>
      </c>
      <c r="O15" s="463">
        <f>+'５-１あけみず時間'!O14</f>
        <v>0</v>
      </c>
      <c r="P15" s="463">
        <f>+'５-１あけみず時間'!P14</f>
        <v>0</v>
      </c>
      <c r="Q15" s="462">
        <f>+'５-１あけみず時間'!Q14</f>
        <v>0.5</v>
      </c>
      <c r="R15" s="463">
        <f>+'５-１あけみず時間'!R14</f>
        <v>0</v>
      </c>
      <c r="S15" s="463">
        <f>+'５-１あけみず時間'!S14</f>
        <v>0</v>
      </c>
      <c r="T15" s="462">
        <f>+'５-１あけみず時間'!T14</f>
        <v>0</v>
      </c>
      <c r="U15" s="463">
        <f>+'５-１あけみず時間'!U14</f>
        <v>0.4</v>
      </c>
      <c r="V15" s="463">
        <f>+'５-１あけみず時間'!V14</f>
        <v>0</v>
      </c>
      <c r="W15" s="462">
        <f>+'５-１あけみず時間'!W14</f>
        <v>0</v>
      </c>
      <c r="X15" s="463">
        <f>+'５-１あけみず時間'!X14</f>
        <v>0.4</v>
      </c>
      <c r="Y15" s="463">
        <f>+'５-１あけみず時間'!Y14</f>
        <v>0</v>
      </c>
      <c r="Z15" s="462">
        <f>+'５-１あけみず時間'!Z14</f>
        <v>0</v>
      </c>
      <c r="AA15" s="463">
        <f>+'５-１あけみず時間'!AA14</f>
        <v>0</v>
      </c>
      <c r="AB15" s="463">
        <f>+'５-１あけみず時間'!AB14</f>
        <v>0</v>
      </c>
      <c r="AC15" s="462">
        <f>+'５-１あけみず時間'!AC14</f>
        <v>0</v>
      </c>
      <c r="AD15" s="463">
        <f>+'５-１あけみず時間'!AD14</f>
        <v>0</v>
      </c>
      <c r="AE15" s="463">
        <f>+'５-１あけみず時間'!AE14</f>
        <v>0</v>
      </c>
      <c r="AF15" s="462">
        <f>+'５-１あけみず時間'!AF14</f>
        <v>0</v>
      </c>
      <c r="AG15" s="463">
        <f>+'５-１あけみず時間'!AG14</f>
        <v>0</v>
      </c>
      <c r="AH15" s="463">
        <f>+'５-１あけみず時間'!AH14</f>
        <v>0</v>
      </c>
      <c r="AI15" s="462">
        <f>+'５-１あけみず時間'!AI14</f>
        <v>0</v>
      </c>
      <c r="AJ15" s="463">
        <f>+'５-１あけみず時間'!AJ14</f>
        <v>0</v>
      </c>
      <c r="AK15" s="463">
        <f>+'５-１あけみず時間'!AK14</f>
        <v>0</v>
      </c>
      <c r="AL15" s="468">
        <f t="shared" si="0"/>
        <v>2.2999999999999998</v>
      </c>
    </row>
    <row r="16" spans="1:38">
      <c r="A16" s="465" t="s">
        <v>366</v>
      </c>
      <c r="B16" s="466">
        <f>+'５-１あけみず時間'!B15</f>
        <v>0</v>
      </c>
      <c r="C16" s="467">
        <f>+'５-１あけみず時間'!C15</f>
        <v>0</v>
      </c>
      <c r="D16" s="467">
        <f>+'５-１あけみず時間'!D15</f>
        <v>0</v>
      </c>
      <c r="E16" s="462">
        <f>+'５-１あけみず時間'!E15</f>
        <v>0</v>
      </c>
      <c r="F16" s="463">
        <f>+'５-１あけみず時間'!F15</f>
        <v>0</v>
      </c>
      <c r="G16" s="463">
        <f>+'５-１あけみず時間'!G15</f>
        <v>0</v>
      </c>
      <c r="H16" s="462">
        <f>+'５-１あけみず時間'!H15</f>
        <v>0</v>
      </c>
      <c r="I16" s="463">
        <f>+'５-１あけみず時間'!I15</f>
        <v>0</v>
      </c>
      <c r="J16" s="463">
        <f>+'５-１あけみず時間'!J15</f>
        <v>0</v>
      </c>
      <c r="K16" s="462">
        <f>+'５-１あけみず時間'!K15</f>
        <v>0</v>
      </c>
      <c r="L16" s="463">
        <f>+'５-１あけみず時間'!L15</f>
        <v>0</v>
      </c>
      <c r="M16" s="463">
        <f>+'５-１あけみず時間'!M15</f>
        <v>0</v>
      </c>
      <c r="N16" s="462">
        <f>+'５-１あけみず時間'!N15</f>
        <v>0</v>
      </c>
      <c r="O16" s="463">
        <f>+'５-１あけみず時間'!O15</f>
        <v>0</v>
      </c>
      <c r="P16" s="463">
        <f>+'５-１あけみず時間'!P15</f>
        <v>0</v>
      </c>
      <c r="Q16" s="462">
        <f>+'５-１あけみず時間'!Q15</f>
        <v>0</v>
      </c>
      <c r="R16" s="463">
        <f>+'５-１あけみず時間'!R15</f>
        <v>0</v>
      </c>
      <c r="S16" s="463">
        <f>+'５-１あけみず時間'!S15</f>
        <v>2.7</v>
      </c>
      <c r="T16" s="462">
        <f>+'５-１あけみず時間'!T15</f>
        <v>2.7</v>
      </c>
      <c r="U16" s="463">
        <f>+'５-１あけみず時間'!U15</f>
        <v>0</v>
      </c>
      <c r="V16" s="463">
        <f>+'５-１あけみず時間'!V15</f>
        <v>0</v>
      </c>
      <c r="W16" s="462">
        <f>+'５-１あけみず時間'!W15</f>
        <v>0</v>
      </c>
      <c r="X16" s="463">
        <f>+'５-１あけみず時間'!X15</f>
        <v>0</v>
      </c>
      <c r="Y16" s="463">
        <f>+'５-１あけみず時間'!Y15</f>
        <v>0</v>
      </c>
      <c r="Z16" s="462">
        <f>+'５-１あけみず時間'!Z15</f>
        <v>0</v>
      </c>
      <c r="AA16" s="463">
        <f>+'５-１あけみず時間'!AA15</f>
        <v>0</v>
      </c>
      <c r="AB16" s="463">
        <f>+'５-１あけみず時間'!AB15</f>
        <v>0</v>
      </c>
      <c r="AC16" s="462">
        <f>+'５-１あけみず時間'!AC15</f>
        <v>0</v>
      </c>
      <c r="AD16" s="463">
        <f>+'５-１あけみず時間'!AD15</f>
        <v>0</v>
      </c>
      <c r="AE16" s="463">
        <f>+'５-１あけみず時間'!AE15</f>
        <v>0</v>
      </c>
      <c r="AF16" s="462">
        <f>+'５-１あけみず時間'!AF15</f>
        <v>0</v>
      </c>
      <c r="AG16" s="463">
        <f>+'５-１あけみず時間'!AG15</f>
        <v>0</v>
      </c>
      <c r="AH16" s="463">
        <f>+'５-１あけみず時間'!AH15</f>
        <v>0</v>
      </c>
      <c r="AI16" s="462">
        <f>+'５-１あけみず時間'!AI15</f>
        <v>0</v>
      </c>
      <c r="AJ16" s="463">
        <f>+'５-１あけみず時間'!AJ15</f>
        <v>0</v>
      </c>
      <c r="AK16" s="463">
        <f>+'５-１あけみず時間'!AK15</f>
        <v>0</v>
      </c>
      <c r="AL16" s="468">
        <f t="shared" si="0"/>
        <v>5.4</v>
      </c>
    </row>
    <row r="17" spans="1:38">
      <c r="A17" s="449" t="s">
        <v>367</v>
      </c>
      <c r="B17" s="466"/>
      <c r="C17" s="467"/>
      <c r="D17" s="467"/>
      <c r="E17" s="466"/>
      <c r="F17" s="467"/>
      <c r="G17" s="467"/>
      <c r="H17" s="466"/>
      <c r="I17" s="467"/>
      <c r="J17" s="467"/>
      <c r="K17" s="462"/>
      <c r="L17" s="463"/>
      <c r="M17" s="463"/>
      <c r="N17" s="462"/>
      <c r="O17" s="463"/>
      <c r="P17" s="463"/>
      <c r="Q17" s="462"/>
      <c r="R17" s="463"/>
      <c r="S17" s="463"/>
      <c r="T17" s="462"/>
      <c r="U17" s="463"/>
      <c r="V17" s="463"/>
      <c r="W17" s="462"/>
      <c r="X17" s="463" t="s">
        <v>371</v>
      </c>
      <c r="Y17" s="463"/>
      <c r="Z17" s="462"/>
      <c r="AA17" s="463">
        <v>30</v>
      </c>
      <c r="AB17" s="463">
        <v>40</v>
      </c>
      <c r="AC17" s="462">
        <v>15</v>
      </c>
      <c r="AD17" s="463"/>
      <c r="AE17" s="463"/>
      <c r="AF17" s="462"/>
      <c r="AG17" s="463"/>
      <c r="AH17" s="463"/>
      <c r="AI17" s="466"/>
      <c r="AJ17" s="467"/>
      <c r="AK17" s="467"/>
      <c r="AL17" s="468">
        <f t="shared" si="0"/>
        <v>85</v>
      </c>
    </row>
    <row r="18" spans="1:38">
      <c r="A18" s="449" t="s">
        <v>368</v>
      </c>
      <c r="B18" s="466">
        <f>+'５-１あけみず時間'!B17</f>
        <v>0</v>
      </c>
      <c r="C18" s="467">
        <f>+'５-１あけみず時間'!C17</f>
        <v>0</v>
      </c>
      <c r="D18" s="467">
        <f>+'５-１あけみず時間'!D17</f>
        <v>0.1</v>
      </c>
      <c r="E18" s="466">
        <f>+'５-１あけみず時間'!E17</f>
        <v>0.1</v>
      </c>
      <c r="F18" s="467">
        <f>+'５-１あけみず時間'!F17</f>
        <v>0.1</v>
      </c>
      <c r="G18" s="467">
        <f>+'５-１あけみず時間'!G17</f>
        <v>0.1</v>
      </c>
      <c r="H18" s="466">
        <f>+'５-１あけみず時間'!H17</f>
        <v>0.1</v>
      </c>
      <c r="I18" s="467">
        <f>+'５-１あけみず時間'!I17</f>
        <v>0.1</v>
      </c>
      <c r="J18" s="467">
        <f>+'５-１あけみず時間'!J17</f>
        <v>0.1</v>
      </c>
      <c r="K18" s="462">
        <f>+'５-１あけみず時間'!K17</f>
        <v>1</v>
      </c>
      <c r="L18" s="463">
        <f>+'５-１あけみず時間'!L17</f>
        <v>1</v>
      </c>
      <c r="M18" s="463">
        <f>+'５-１あけみず時間'!M17</f>
        <v>0</v>
      </c>
      <c r="N18" s="462">
        <f>+'５-１あけみず時間'!N17</f>
        <v>2</v>
      </c>
      <c r="O18" s="463">
        <f>+'５-１あけみず時間'!O17</f>
        <v>0</v>
      </c>
      <c r="P18" s="463">
        <f>+'５-１あけみず時間'!P17</f>
        <v>0</v>
      </c>
      <c r="Q18" s="462">
        <f>+'５-１あけみず時間'!Q17</f>
        <v>0</v>
      </c>
      <c r="R18" s="463">
        <f>+'５-１あけみず時間'!R17</f>
        <v>0</v>
      </c>
      <c r="S18" s="463">
        <f>+'５-１あけみず時間'!S17</f>
        <v>0</v>
      </c>
      <c r="T18" s="462">
        <f>+'５-１あけみず時間'!T17</f>
        <v>1</v>
      </c>
      <c r="U18" s="463">
        <f>+'５-１あけみず時間'!U17</f>
        <v>1</v>
      </c>
      <c r="V18" s="463">
        <f>+'５-１あけみず時間'!V17</f>
        <v>1</v>
      </c>
      <c r="W18" s="462">
        <f>+'５-１あけみず時間'!W17</f>
        <v>1</v>
      </c>
      <c r="X18" s="463">
        <f>+'５-１あけみず時間'!X17</f>
        <v>1</v>
      </c>
      <c r="Y18" s="463">
        <f>+'５-１あけみず時間'!Y17</f>
        <v>0</v>
      </c>
      <c r="Z18" s="462">
        <f>+'５-１あけみず時間'!Z17</f>
        <v>0</v>
      </c>
      <c r="AA18" s="463">
        <f>+'５-１あけみず時間'!AA17</f>
        <v>0</v>
      </c>
      <c r="AB18" s="463">
        <f>+'５-１あけみず時間'!AB17</f>
        <v>0</v>
      </c>
      <c r="AC18" s="462">
        <f>+'５-１あけみず時間'!AC17</f>
        <v>1</v>
      </c>
      <c r="AD18" s="463">
        <f>+'５-１あけみず時間'!AD17</f>
        <v>1</v>
      </c>
      <c r="AE18" s="463">
        <f>+'５-１あけみず時間'!AE17</f>
        <v>1</v>
      </c>
      <c r="AF18" s="462">
        <f>+'５-１あけみず時間'!AF17</f>
        <v>2</v>
      </c>
      <c r="AG18" s="463">
        <f>+'５-１あけみず時間'!AG17</f>
        <v>1</v>
      </c>
      <c r="AH18" s="463">
        <f>+'５-１あけみず時間'!AH17</f>
        <v>1</v>
      </c>
      <c r="AI18" s="466">
        <f>+'５-１あけみず時間'!AI17</f>
        <v>1</v>
      </c>
      <c r="AJ18" s="467">
        <f>+'５-１あけみず時間'!AJ17</f>
        <v>1</v>
      </c>
      <c r="AK18" s="467">
        <f>+'５-１あけみず時間'!AK17</f>
        <v>1</v>
      </c>
      <c r="AL18" s="468">
        <f t="shared" si="0"/>
        <v>19.7</v>
      </c>
    </row>
    <row r="19" spans="1:38">
      <c r="A19" s="469" t="s">
        <v>369</v>
      </c>
      <c r="B19" s="466">
        <f t="shared" ref="B19:AK19" si="1">SUM(B8:B18)</f>
        <v>3.5</v>
      </c>
      <c r="C19" s="470">
        <f t="shared" si="1"/>
        <v>3.5</v>
      </c>
      <c r="D19" s="471">
        <f t="shared" si="1"/>
        <v>3.6</v>
      </c>
      <c r="E19" s="466">
        <f t="shared" si="1"/>
        <v>3.6</v>
      </c>
      <c r="F19" s="470">
        <f t="shared" si="1"/>
        <v>3.6</v>
      </c>
      <c r="G19" s="471">
        <f t="shared" si="1"/>
        <v>3.6</v>
      </c>
      <c r="H19" s="466">
        <f t="shared" si="1"/>
        <v>3.6</v>
      </c>
      <c r="I19" s="470">
        <f t="shared" si="1"/>
        <v>3.6</v>
      </c>
      <c r="J19" s="471">
        <f t="shared" si="1"/>
        <v>4.0999999999999996</v>
      </c>
      <c r="K19" s="466">
        <f t="shared" si="1"/>
        <v>1.75</v>
      </c>
      <c r="L19" s="470">
        <f t="shared" si="1"/>
        <v>4.75</v>
      </c>
      <c r="M19" s="471">
        <f t="shared" si="1"/>
        <v>5.45</v>
      </c>
      <c r="N19" s="466">
        <f t="shared" si="1"/>
        <v>6.15</v>
      </c>
      <c r="O19" s="470">
        <f t="shared" si="1"/>
        <v>8.25</v>
      </c>
      <c r="P19" s="471">
        <f t="shared" si="1"/>
        <v>8.25</v>
      </c>
      <c r="Q19" s="466">
        <f t="shared" si="1"/>
        <v>8.75</v>
      </c>
      <c r="R19" s="470">
        <f t="shared" si="1"/>
        <v>8.25</v>
      </c>
      <c r="S19" s="471">
        <f t="shared" si="1"/>
        <v>10.95</v>
      </c>
      <c r="T19" s="466">
        <f t="shared" si="1"/>
        <v>10.45</v>
      </c>
      <c r="U19" s="470">
        <f t="shared" si="1"/>
        <v>4.6500000000000004</v>
      </c>
      <c r="V19" s="471">
        <f t="shared" si="1"/>
        <v>1.45</v>
      </c>
      <c r="W19" s="466">
        <f t="shared" si="1"/>
        <v>1.45</v>
      </c>
      <c r="X19" s="470">
        <f t="shared" si="1"/>
        <v>1.5</v>
      </c>
      <c r="Y19" s="471">
        <f t="shared" si="1"/>
        <v>0</v>
      </c>
      <c r="Z19" s="466">
        <f t="shared" si="1"/>
        <v>0.75</v>
      </c>
      <c r="AA19" s="470">
        <f t="shared" si="1"/>
        <v>30</v>
      </c>
      <c r="AB19" s="471">
        <f t="shared" si="1"/>
        <v>40</v>
      </c>
      <c r="AC19" s="466">
        <f t="shared" si="1"/>
        <v>16</v>
      </c>
      <c r="AD19" s="470">
        <f t="shared" si="1"/>
        <v>1.25</v>
      </c>
      <c r="AE19" s="471">
        <f t="shared" si="1"/>
        <v>1.9</v>
      </c>
      <c r="AF19" s="466">
        <f t="shared" si="1"/>
        <v>2</v>
      </c>
      <c r="AG19" s="470">
        <f t="shared" si="1"/>
        <v>1</v>
      </c>
      <c r="AH19" s="471">
        <f t="shared" si="1"/>
        <v>1</v>
      </c>
      <c r="AI19" s="466">
        <f t="shared" si="1"/>
        <v>4</v>
      </c>
      <c r="AJ19" s="470">
        <f t="shared" si="1"/>
        <v>4</v>
      </c>
      <c r="AK19" s="471">
        <f t="shared" si="1"/>
        <v>4.5</v>
      </c>
      <c r="AL19" s="468"/>
    </row>
    <row r="20" spans="1:38" ht="14.25" thickBot="1">
      <c r="A20" s="472" t="s">
        <v>370</v>
      </c>
      <c r="B20" s="473"/>
      <c r="C20" s="474">
        <f>SUM(B19:D19)</f>
        <v>10.6</v>
      </c>
      <c r="D20" s="474"/>
      <c r="E20" s="473"/>
      <c r="F20" s="474">
        <f>SUM(E19:G19)</f>
        <v>10.8</v>
      </c>
      <c r="G20" s="474"/>
      <c r="H20" s="473"/>
      <c r="I20" s="474">
        <f>SUM(H19:J19)</f>
        <v>11.3</v>
      </c>
      <c r="J20" s="474"/>
      <c r="K20" s="473"/>
      <c r="L20" s="474">
        <f>SUM(K19:M19)</f>
        <v>11.95</v>
      </c>
      <c r="M20" s="474"/>
      <c r="N20" s="473"/>
      <c r="O20" s="474">
        <f>SUM(N19:P19)</f>
        <v>22.65</v>
      </c>
      <c r="P20" s="474"/>
      <c r="Q20" s="473"/>
      <c r="R20" s="474">
        <f>SUM(Q19:S19)</f>
        <v>27.95</v>
      </c>
      <c r="S20" s="474"/>
      <c r="T20" s="473"/>
      <c r="U20" s="474">
        <f>SUM(T19:V19)</f>
        <v>16.55</v>
      </c>
      <c r="V20" s="474"/>
      <c r="W20" s="473"/>
      <c r="X20" s="474">
        <f>SUM(W19:Y19)</f>
        <v>2.95</v>
      </c>
      <c r="Y20" s="474"/>
      <c r="Z20" s="473"/>
      <c r="AA20" s="474">
        <f>SUM(Z19:AB19)</f>
        <v>70.75</v>
      </c>
      <c r="AB20" s="474"/>
      <c r="AC20" s="473"/>
      <c r="AD20" s="474">
        <f>SUM(AC19:AE19)</f>
        <v>19.149999999999999</v>
      </c>
      <c r="AE20" s="474"/>
      <c r="AF20" s="473"/>
      <c r="AG20" s="474">
        <f>SUM(AF19:AH19)</f>
        <v>4</v>
      </c>
      <c r="AH20" s="474"/>
      <c r="AI20" s="473"/>
      <c r="AJ20" s="474">
        <f>SUM(AI19:AK19)</f>
        <v>12.5</v>
      </c>
      <c r="AK20" s="474"/>
      <c r="AL20" s="475">
        <f>SUM(B20:AK20)</f>
        <v>221.15</v>
      </c>
    </row>
  </sheetData>
  <phoneticPr fontId="4"/>
  <conditionalFormatting sqref="B8:AK18">
    <cfRule type="cellIs" dxfId="10" priority="1" operator="equal">
      <formula>0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20"/>
  <sheetViews>
    <sheetView zoomScale="75" zoomScaleNormal="75" zoomScaleSheetLayoutView="75" workbookViewId="0"/>
  </sheetViews>
  <sheetFormatPr defaultRowHeight="13.5"/>
  <cols>
    <col min="1" max="1" width="14" customWidth="1"/>
    <col min="2" max="37" width="5.625" customWidth="1"/>
    <col min="38" max="38" width="6.75" customWidth="1"/>
  </cols>
  <sheetData>
    <row r="2" spans="1:38" ht="14.25" thickBot="1">
      <c r="A2" s="23" t="s">
        <v>594</v>
      </c>
      <c r="B2" s="23"/>
      <c r="C2" s="23"/>
      <c r="D2" s="23"/>
      <c r="E2" s="23"/>
      <c r="F2" s="23"/>
      <c r="G2" s="23"/>
      <c r="H2" s="23"/>
      <c r="I2" s="23"/>
      <c r="J2" s="23"/>
      <c r="K2" s="25" t="s">
        <v>188</v>
      </c>
      <c r="L2" s="440" t="s">
        <v>420</v>
      </c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</row>
    <row r="3" spans="1:38">
      <c r="A3" s="443"/>
      <c r="B3" s="444"/>
      <c r="C3" s="445" t="s">
        <v>345</v>
      </c>
      <c r="D3" s="446"/>
      <c r="E3" s="444"/>
      <c r="F3" s="445" t="s">
        <v>346</v>
      </c>
      <c r="G3" s="446"/>
      <c r="H3" s="447" t="s">
        <v>347</v>
      </c>
      <c r="I3" s="445" t="s">
        <v>348</v>
      </c>
      <c r="J3" s="446"/>
      <c r="K3" s="444"/>
      <c r="L3" s="445" t="s">
        <v>349</v>
      </c>
      <c r="M3" s="446"/>
      <c r="N3" s="444"/>
      <c r="O3" s="445" t="s">
        <v>350</v>
      </c>
      <c r="P3" s="446"/>
      <c r="Q3" s="444"/>
      <c r="R3" s="445" t="s">
        <v>351</v>
      </c>
      <c r="S3" s="446"/>
      <c r="T3" s="444"/>
      <c r="U3" s="445" t="s">
        <v>352</v>
      </c>
      <c r="V3" s="446"/>
      <c r="W3" s="444"/>
      <c r="X3" s="445" t="s">
        <v>353</v>
      </c>
      <c r="Y3" s="446"/>
      <c r="Z3" s="444"/>
      <c r="AA3" s="445" t="s">
        <v>354</v>
      </c>
      <c r="AB3" s="446"/>
      <c r="AC3" s="447" t="s">
        <v>347</v>
      </c>
      <c r="AD3" s="446">
        <v>10</v>
      </c>
      <c r="AE3" s="446"/>
      <c r="AF3" s="444"/>
      <c r="AG3" s="446">
        <v>11</v>
      </c>
      <c r="AH3" s="446"/>
      <c r="AI3" s="444"/>
      <c r="AJ3" s="446">
        <v>12</v>
      </c>
      <c r="AK3" s="446"/>
      <c r="AL3" s="448" t="s">
        <v>30</v>
      </c>
    </row>
    <row r="4" spans="1:38">
      <c r="A4" s="449" t="s">
        <v>355</v>
      </c>
      <c r="B4" s="450" t="s">
        <v>31</v>
      </c>
      <c r="C4" s="451" t="s">
        <v>32</v>
      </c>
      <c r="D4" s="451" t="s">
        <v>33</v>
      </c>
      <c r="E4" s="450" t="s">
        <v>31</v>
      </c>
      <c r="F4" s="451" t="s">
        <v>32</v>
      </c>
      <c r="G4" s="451" t="s">
        <v>33</v>
      </c>
      <c r="H4" s="450" t="s">
        <v>31</v>
      </c>
      <c r="I4" s="451" t="s">
        <v>32</v>
      </c>
      <c r="J4" s="451" t="s">
        <v>33</v>
      </c>
      <c r="K4" s="450" t="s">
        <v>31</v>
      </c>
      <c r="L4" s="451" t="s">
        <v>32</v>
      </c>
      <c r="M4" s="451" t="s">
        <v>33</v>
      </c>
      <c r="N4" s="450" t="s">
        <v>31</v>
      </c>
      <c r="O4" s="451" t="s">
        <v>32</v>
      </c>
      <c r="P4" s="451" t="s">
        <v>33</v>
      </c>
      <c r="Q4" s="450" t="s">
        <v>31</v>
      </c>
      <c r="R4" s="452" t="s">
        <v>32</v>
      </c>
      <c r="S4" s="452" t="s">
        <v>33</v>
      </c>
      <c r="T4" s="450" t="s">
        <v>31</v>
      </c>
      <c r="U4" s="451" t="s">
        <v>32</v>
      </c>
      <c r="V4" s="451" t="s">
        <v>33</v>
      </c>
      <c r="W4" s="450" t="s">
        <v>31</v>
      </c>
      <c r="X4" s="451" t="s">
        <v>32</v>
      </c>
      <c r="Y4" s="451" t="s">
        <v>33</v>
      </c>
      <c r="Z4" s="450" t="s">
        <v>31</v>
      </c>
      <c r="AA4" s="451" t="s">
        <v>32</v>
      </c>
      <c r="AB4" s="451" t="s">
        <v>33</v>
      </c>
      <c r="AC4" s="450" t="s">
        <v>31</v>
      </c>
      <c r="AD4" s="451" t="s">
        <v>32</v>
      </c>
      <c r="AE4" s="451" t="s">
        <v>33</v>
      </c>
      <c r="AF4" s="450" t="s">
        <v>31</v>
      </c>
      <c r="AG4" s="451" t="s">
        <v>32</v>
      </c>
      <c r="AH4" s="451" t="s">
        <v>33</v>
      </c>
      <c r="AI4" s="450" t="s">
        <v>31</v>
      </c>
      <c r="AJ4" s="451" t="s">
        <v>32</v>
      </c>
      <c r="AK4" s="451" t="s">
        <v>33</v>
      </c>
      <c r="AL4" s="453"/>
    </row>
    <row r="5" spans="1:38">
      <c r="A5" s="454"/>
      <c r="B5" s="455"/>
      <c r="C5" s="456"/>
      <c r="D5" s="456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6"/>
      <c r="U5" s="456"/>
      <c r="V5" s="456"/>
      <c r="W5" s="456"/>
      <c r="X5" s="456"/>
      <c r="Y5" s="456"/>
      <c r="Z5" s="456"/>
      <c r="AA5" s="456"/>
      <c r="AB5" s="456"/>
      <c r="AC5" s="456"/>
      <c r="AD5" s="456"/>
      <c r="AE5" s="456"/>
      <c r="AF5" s="456"/>
      <c r="AG5" s="456"/>
      <c r="AH5" s="456"/>
      <c r="AI5" s="456"/>
      <c r="AJ5" s="456"/>
      <c r="AK5" s="456"/>
      <c r="AL5" s="549"/>
    </row>
    <row r="6" spans="1:38">
      <c r="A6" s="454" t="s">
        <v>356</v>
      </c>
      <c r="B6" s="455"/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456" t="s">
        <v>357</v>
      </c>
      <c r="N6" s="456"/>
      <c r="O6" s="456"/>
      <c r="P6" s="456"/>
      <c r="Q6" s="456"/>
      <c r="R6" s="456"/>
      <c r="S6" s="456"/>
      <c r="T6" s="456"/>
      <c r="U6" s="456"/>
      <c r="V6" s="456"/>
      <c r="W6" s="456"/>
      <c r="X6" s="458"/>
      <c r="Y6" s="476"/>
      <c r="Z6" s="476"/>
      <c r="AA6" s="476"/>
      <c r="AB6" s="457"/>
      <c r="AC6" s="457"/>
      <c r="AD6" s="457"/>
      <c r="AE6" s="457"/>
      <c r="AF6" s="456"/>
      <c r="AG6" s="456"/>
      <c r="AH6" s="456"/>
      <c r="AI6" s="456"/>
      <c r="AJ6" s="456"/>
      <c r="AK6" s="456"/>
      <c r="AL6" s="550"/>
    </row>
    <row r="7" spans="1:38">
      <c r="A7" s="449"/>
      <c r="B7" s="450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52"/>
      <c r="V7" s="452"/>
      <c r="W7" s="452"/>
      <c r="X7" s="452"/>
      <c r="Y7" s="452"/>
      <c r="Z7" s="452"/>
      <c r="AA7" s="452"/>
      <c r="AB7" s="452"/>
      <c r="AC7" s="452"/>
      <c r="AD7" s="452"/>
      <c r="AE7" s="452"/>
      <c r="AF7" s="452"/>
      <c r="AG7" s="452"/>
      <c r="AH7" s="452"/>
      <c r="AI7" s="452"/>
      <c r="AJ7" s="452"/>
      <c r="AK7" s="452"/>
      <c r="AL7" s="551"/>
    </row>
    <row r="8" spans="1:38">
      <c r="A8" s="459" t="s">
        <v>358</v>
      </c>
      <c r="B8" s="460">
        <f>+'５-１あけみず時間'!B7</f>
        <v>3.5</v>
      </c>
      <c r="C8" s="461">
        <f>+'５-１あけみず時間'!C7</f>
        <v>3.5</v>
      </c>
      <c r="D8" s="461">
        <f>+'５-１あけみず時間'!D7</f>
        <v>3.5</v>
      </c>
      <c r="E8" s="462">
        <f>+'５-１あけみず時間'!E7</f>
        <v>3.5</v>
      </c>
      <c r="F8" s="463">
        <f>+'５-１あけみず時間'!F7</f>
        <v>3.5</v>
      </c>
      <c r="G8" s="463">
        <f>+'５-１あけみず時間'!G7</f>
        <v>3.5</v>
      </c>
      <c r="H8" s="462">
        <f>+'５-１あけみず時間'!H7</f>
        <v>3.5</v>
      </c>
      <c r="I8" s="463">
        <f>+'５-１あけみず時間'!I7</f>
        <v>3.5</v>
      </c>
      <c r="J8" s="463">
        <f>+'５-１あけみず時間'!J7</f>
        <v>3.5</v>
      </c>
      <c r="K8" s="462">
        <f>+'５-１あけみず時間'!K7</f>
        <v>0</v>
      </c>
      <c r="L8" s="463">
        <f>+'５-１あけみず時間'!L7</f>
        <v>0</v>
      </c>
      <c r="M8" s="463">
        <f>+'５-１あけみず時間'!M7</f>
        <v>0</v>
      </c>
      <c r="N8" s="462">
        <f>+'５-１あけみず時間'!N7</f>
        <v>0</v>
      </c>
      <c r="O8" s="463">
        <f>+'５-１あけみず時間'!O7</f>
        <v>0</v>
      </c>
      <c r="P8" s="463">
        <f>+'５-１あけみず時間'!P7</f>
        <v>0</v>
      </c>
      <c r="Q8" s="462">
        <f>+'５-１あけみず時間'!Q7</f>
        <v>0</v>
      </c>
      <c r="R8" s="463">
        <f>+'５-１あけみず時間'!R7</f>
        <v>0</v>
      </c>
      <c r="S8" s="463">
        <f>+'５-１あけみず時間'!S7</f>
        <v>0</v>
      </c>
      <c r="T8" s="462">
        <f>+'５-１あけみず時間'!T7</f>
        <v>0</v>
      </c>
      <c r="U8" s="463">
        <f>+'５-１あけみず時間'!U7</f>
        <v>0</v>
      </c>
      <c r="V8" s="463">
        <f>+'５-１あけみず時間'!V7</f>
        <v>0</v>
      </c>
      <c r="W8" s="462">
        <f>+'５-１あけみず時間'!W7</f>
        <v>0</v>
      </c>
      <c r="X8" s="463">
        <f>+'５-１あけみず時間'!X7</f>
        <v>0</v>
      </c>
      <c r="Y8" s="463">
        <f>+'５-１あけみず時間'!Y7</f>
        <v>0</v>
      </c>
      <c r="Z8" s="462">
        <f>+'５-１あけみず時間'!Z7</f>
        <v>0</v>
      </c>
      <c r="AA8" s="463">
        <f>+'５-１あけみず時間'!AA7</f>
        <v>0</v>
      </c>
      <c r="AB8" s="463">
        <f>+'５-１あけみず時間'!AB7</f>
        <v>0</v>
      </c>
      <c r="AC8" s="462">
        <f>+'５-１あけみず時間'!AC7</f>
        <v>0</v>
      </c>
      <c r="AD8" s="463">
        <f>+'５-１あけみず時間'!AD7</f>
        <v>0</v>
      </c>
      <c r="AE8" s="463">
        <f>+'５-１あけみず時間'!AE7</f>
        <v>0</v>
      </c>
      <c r="AF8" s="462">
        <f>+'５-１あけみず時間'!AF7</f>
        <v>0</v>
      </c>
      <c r="AG8" s="463">
        <f>+'５-１あけみず時間'!AG7</f>
        <v>0</v>
      </c>
      <c r="AH8" s="463">
        <f>+'５-１あけみず時間'!AH7</f>
        <v>0</v>
      </c>
      <c r="AI8" s="462">
        <f>+'５-１あけみず時間'!AI7</f>
        <v>3</v>
      </c>
      <c r="AJ8" s="463">
        <f>+'５-１あけみず時間'!AJ7</f>
        <v>3</v>
      </c>
      <c r="AK8" s="463">
        <f>+'５-１あけみず時間'!AK7</f>
        <v>3.5</v>
      </c>
      <c r="AL8" s="464">
        <f t="shared" ref="AL8:AL18" si="0">SUM(B8:AK8)</f>
        <v>41</v>
      </c>
    </row>
    <row r="9" spans="1:38">
      <c r="A9" s="465" t="s">
        <v>359</v>
      </c>
      <c r="B9" s="466">
        <f>+'５-１あけみず時間'!B8</f>
        <v>0</v>
      </c>
      <c r="C9" s="467">
        <f>+'５-１あけみず時間'!C8</f>
        <v>0</v>
      </c>
      <c r="D9" s="467">
        <f>+'５-１あけみず時間'!D8</f>
        <v>0</v>
      </c>
      <c r="E9" s="462">
        <f>+'５-１あけみず時間'!E8</f>
        <v>0</v>
      </c>
      <c r="F9" s="463">
        <f>+'５-１あけみず時間'!F8</f>
        <v>0</v>
      </c>
      <c r="G9" s="463">
        <f>+'５-１あけみず時間'!G8</f>
        <v>0</v>
      </c>
      <c r="H9" s="462">
        <f>+'５-１あけみず時間'!H8</f>
        <v>0</v>
      </c>
      <c r="I9" s="463">
        <f>+'５-１あけみず時間'!I8</f>
        <v>0</v>
      </c>
      <c r="J9" s="463">
        <f>+'５-１あけみず時間'!J8</f>
        <v>0.5</v>
      </c>
      <c r="K9" s="462">
        <f>+'５-１あけみず時間'!K8</f>
        <v>0</v>
      </c>
      <c r="L9" s="463">
        <f>+'５-１あけみず時間'!L8</f>
        <v>0</v>
      </c>
      <c r="M9" s="463">
        <f>+'５-１あけみず時間'!M8</f>
        <v>0</v>
      </c>
      <c r="N9" s="462">
        <f>+'５-１あけみず時間'!N8</f>
        <v>0</v>
      </c>
      <c r="O9" s="463">
        <f>+'５-１あけみず時間'!O8</f>
        <v>0</v>
      </c>
      <c r="P9" s="463">
        <f>+'５-１あけみず時間'!P8</f>
        <v>0</v>
      </c>
      <c r="Q9" s="462">
        <f>+'５-１あけみず時間'!Q8</f>
        <v>0</v>
      </c>
      <c r="R9" s="463">
        <f>+'５-１あけみず時間'!R8</f>
        <v>0</v>
      </c>
      <c r="S9" s="463">
        <f>+'５-１あけみず時間'!S8</f>
        <v>0</v>
      </c>
      <c r="T9" s="462">
        <f>+'５-１あけみず時間'!T8</f>
        <v>0.5</v>
      </c>
      <c r="U9" s="463">
        <f>+'５-１あけみず時間'!U8</f>
        <v>0</v>
      </c>
      <c r="V9" s="463">
        <f>+'５-１あけみず時間'!V8</f>
        <v>0</v>
      </c>
      <c r="W9" s="462">
        <f>+'５-１あけみず時間'!W8</f>
        <v>0</v>
      </c>
      <c r="X9" s="463">
        <f>+'５-１あけみず時間'!X8</f>
        <v>0</v>
      </c>
      <c r="Y9" s="463">
        <f>+'５-１あけみず時間'!Y8</f>
        <v>0</v>
      </c>
      <c r="Z9" s="462">
        <f>+'５-１あけみず時間'!Z8</f>
        <v>0.5</v>
      </c>
      <c r="AA9" s="463">
        <f>+'５-１あけみず時間'!AA8</f>
        <v>0</v>
      </c>
      <c r="AB9" s="463">
        <f>+'５-１あけみず時間'!AB8</f>
        <v>0</v>
      </c>
      <c r="AC9" s="462">
        <f>+'５-１あけみず時間'!AC8</f>
        <v>0</v>
      </c>
      <c r="AD9" s="463">
        <f>+'５-１あけみず時間'!AD8</f>
        <v>0</v>
      </c>
      <c r="AE9" s="463">
        <f>+'５-１あけみず時間'!AE8</f>
        <v>0.9</v>
      </c>
      <c r="AF9" s="462">
        <f>+'５-１あけみず時間'!AF8</f>
        <v>0</v>
      </c>
      <c r="AG9" s="463">
        <f>+'５-１あけみず時間'!AG8</f>
        <v>0</v>
      </c>
      <c r="AH9" s="463">
        <f>+'５-１あけみず時間'!AH8</f>
        <v>0</v>
      </c>
      <c r="AI9" s="462">
        <f>+'５-１あけみず時間'!AI8</f>
        <v>0</v>
      </c>
      <c r="AJ9" s="463">
        <f>+'５-１あけみず時間'!AJ8</f>
        <v>0</v>
      </c>
      <c r="AK9" s="463">
        <f>+'５-１あけみず時間'!AK8</f>
        <v>0</v>
      </c>
      <c r="AL9" s="468">
        <f t="shared" si="0"/>
        <v>2.4</v>
      </c>
    </row>
    <row r="10" spans="1:38">
      <c r="A10" s="465" t="s">
        <v>360</v>
      </c>
      <c r="B10" s="466">
        <f>+'５-１あけみず時間'!B9</f>
        <v>0</v>
      </c>
      <c r="C10" s="467">
        <f>+'５-１あけみず時間'!C9</f>
        <v>0</v>
      </c>
      <c r="D10" s="467">
        <f>+'５-１あけみず時間'!D9</f>
        <v>0</v>
      </c>
      <c r="E10" s="462">
        <f>+'５-１あけみず時間'!E9</f>
        <v>0</v>
      </c>
      <c r="F10" s="463">
        <f>+'５-１あけみず時間'!F9</f>
        <v>0</v>
      </c>
      <c r="G10" s="463">
        <f>+'５-１あけみず時間'!G9</f>
        <v>0</v>
      </c>
      <c r="H10" s="462" t="str">
        <f>+'５-１あけみず時間'!H9</f>
        <v>　</v>
      </c>
      <c r="I10" s="463">
        <f>+'５-１あけみず時間'!I9</f>
        <v>0</v>
      </c>
      <c r="J10" s="463">
        <f>+'５-１あけみず時間'!J9</f>
        <v>0</v>
      </c>
      <c r="K10" s="462">
        <f>+'５-１あけみず時間'!K9</f>
        <v>0.25</v>
      </c>
      <c r="L10" s="463">
        <f>+'５-１あけみず時間'!L9</f>
        <v>0.25</v>
      </c>
      <c r="M10" s="463">
        <f>+'５-１あけみず時間'!M9</f>
        <v>0.25</v>
      </c>
      <c r="N10" s="462">
        <f>+'５-１あけみず時間'!N9</f>
        <v>0.25</v>
      </c>
      <c r="O10" s="463">
        <f>+'５-１あけみず時間'!O9</f>
        <v>0.25</v>
      </c>
      <c r="P10" s="463">
        <f>+'５-１あけみず時間'!P9</f>
        <v>0.25</v>
      </c>
      <c r="Q10" s="462">
        <f>+'５-１あけみず時間'!Q9</f>
        <v>0.25</v>
      </c>
      <c r="R10" s="463">
        <f>+'５-１あけみず時間'!R9</f>
        <v>0.25</v>
      </c>
      <c r="S10" s="463">
        <f>+'５-１あけみず時間'!S9</f>
        <v>0.25</v>
      </c>
      <c r="T10" s="462">
        <f>+'５-１あけみず時間'!T9</f>
        <v>0.25</v>
      </c>
      <c r="U10" s="463">
        <f>+'５-１あけみず時間'!U9</f>
        <v>0.25</v>
      </c>
      <c r="V10" s="463">
        <f>+'５-１あけみず時間'!V9</f>
        <v>0.25</v>
      </c>
      <c r="W10" s="462">
        <f>+'５-１あけみず時間'!W9</f>
        <v>0.25</v>
      </c>
      <c r="X10" s="463">
        <f>+'５-１あけみず時間'!X9</f>
        <v>0</v>
      </c>
      <c r="Y10" s="463">
        <f>+'５-１あけみず時間'!Y9</f>
        <v>0</v>
      </c>
      <c r="Z10" s="462">
        <f>+'５-１あけみず時間'!Z9</f>
        <v>0.25</v>
      </c>
      <c r="AA10" s="463">
        <f>+'５-１あけみず時間'!AA9</f>
        <v>0</v>
      </c>
      <c r="AB10" s="463" t="str">
        <f>+'５-１あけみず時間'!AB9</f>
        <v>　</v>
      </c>
      <c r="AC10" s="462">
        <f>+'５-１あけみず時間'!AC9</f>
        <v>0</v>
      </c>
      <c r="AD10" s="463">
        <f>+'５-１あけみず時間'!AD9</f>
        <v>0.25</v>
      </c>
      <c r="AE10" s="463">
        <f>+'５-１あけみず時間'!AE9</f>
        <v>0</v>
      </c>
      <c r="AF10" s="462">
        <f>+'５-１あけみず時間'!AF9</f>
        <v>0</v>
      </c>
      <c r="AG10" s="463">
        <f>+'５-１あけみず時間'!AG9</f>
        <v>0</v>
      </c>
      <c r="AH10" s="463">
        <f>+'５-１あけみず時間'!AH9</f>
        <v>0</v>
      </c>
      <c r="AI10" s="462">
        <f>+'５-１あけみず時間'!AI9</f>
        <v>0</v>
      </c>
      <c r="AJ10" s="463">
        <f>+'５-１あけみず時間'!AJ9</f>
        <v>0</v>
      </c>
      <c r="AK10" s="463">
        <f>+'５-１あけみず時間'!AK9</f>
        <v>0</v>
      </c>
      <c r="AL10" s="468">
        <f t="shared" si="0"/>
        <v>3.75</v>
      </c>
    </row>
    <row r="11" spans="1:38">
      <c r="A11" s="465" t="s">
        <v>361</v>
      </c>
      <c r="B11" s="466">
        <f>+'５-１あけみず時間'!B10</f>
        <v>0</v>
      </c>
      <c r="C11" s="467">
        <f>+'５-１あけみず時間'!C10</f>
        <v>0</v>
      </c>
      <c r="D11" s="467">
        <f>+'５-１あけみず時間'!D10</f>
        <v>0</v>
      </c>
      <c r="E11" s="462">
        <f>+'５-１あけみず時間'!E10</f>
        <v>0</v>
      </c>
      <c r="F11" s="463">
        <f>+'５-１あけみず時間'!F10</f>
        <v>0</v>
      </c>
      <c r="G11" s="463">
        <f>+'５-１あけみず時間'!G10</f>
        <v>0</v>
      </c>
      <c r="H11" s="462">
        <f>+'５-１あけみず時間'!H10</f>
        <v>0</v>
      </c>
      <c r="I11" s="463">
        <f>+'５-１あけみず時間'!I10</f>
        <v>0</v>
      </c>
      <c r="J11" s="463">
        <f>+'５-１あけみず時間'!J10</f>
        <v>0</v>
      </c>
      <c r="K11" s="462">
        <f>+'５-１あけみず時間'!K10</f>
        <v>0</v>
      </c>
      <c r="L11" s="463">
        <f>+'５-１あけみず時間'!L10</f>
        <v>3.5</v>
      </c>
      <c r="M11" s="463">
        <f>+'５-１あけみず時間'!M10</f>
        <v>4</v>
      </c>
      <c r="N11" s="462">
        <f>+'５-１あけみず時間'!N10</f>
        <v>0</v>
      </c>
      <c r="O11" s="463">
        <f>+'５-１あけみず時間'!O10</f>
        <v>0</v>
      </c>
      <c r="P11" s="463">
        <f>+'５-１あけみず時間'!P10</f>
        <v>0</v>
      </c>
      <c r="Q11" s="462">
        <f>+'５-１あけみず時間'!Q10</f>
        <v>0</v>
      </c>
      <c r="R11" s="463">
        <f>+'５-１あけみず時間'!R10</f>
        <v>0</v>
      </c>
      <c r="S11" s="463">
        <f>+'５-１あけみず時間'!S10</f>
        <v>0</v>
      </c>
      <c r="T11" s="462">
        <f>+'５-１あけみず時間'!T10</f>
        <v>0</v>
      </c>
      <c r="U11" s="463">
        <f>+'５-１あけみず時間'!U10</f>
        <v>0</v>
      </c>
      <c r="V11" s="463">
        <f>+'５-１あけみず時間'!V10</f>
        <v>0</v>
      </c>
      <c r="W11" s="462">
        <f>+'５-１あけみず時間'!W10</f>
        <v>0</v>
      </c>
      <c r="X11" s="463">
        <f>+'５-１あけみず時間'!X10</f>
        <v>0</v>
      </c>
      <c r="Y11" s="463">
        <f>+'５-１あけみず時間'!Y10</f>
        <v>0</v>
      </c>
      <c r="Z11" s="462">
        <f>+'５-１あけみず時間'!Z10</f>
        <v>0</v>
      </c>
      <c r="AA11" s="463">
        <f>+'５-１あけみず時間'!AA10</f>
        <v>0</v>
      </c>
      <c r="AB11" s="463">
        <f>+'５-１あけみず時間'!AB10</f>
        <v>0</v>
      </c>
      <c r="AC11" s="462">
        <f>+'５-１あけみず時間'!AC10</f>
        <v>0</v>
      </c>
      <c r="AD11" s="463">
        <f>+'５-１あけみず時間'!AD10</f>
        <v>0</v>
      </c>
      <c r="AE11" s="463">
        <f>+'５-１あけみず時間'!AE10</f>
        <v>0</v>
      </c>
      <c r="AF11" s="462">
        <f>+'５-１あけみず時間'!AF10</f>
        <v>0</v>
      </c>
      <c r="AG11" s="463">
        <f>+'５-１あけみず時間'!AG10</f>
        <v>0</v>
      </c>
      <c r="AH11" s="463">
        <f>+'５-１あけみず時間'!AH10</f>
        <v>0</v>
      </c>
      <c r="AI11" s="462">
        <f>+'５-１あけみず時間'!AI10</f>
        <v>0</v>
      </c>
      <c r="AJ11" s="463">
        <f>+'５-１あけみず時間'!AJ10</f>
        <v>0</v>
      </c>
      <c r="AK11" s="463">
        <f>+'５-１あけみず時間'!AK10</f>
        <v>0</v>
      </c>
      <c r="AL11" s="468">
        <f t="shared" si="0"/>
        <v>7.5</v>
      </c>
    </row>
    <row r="12" spans="1:38">
      <c r="A12" s="465" t="s">
        <v>362</v>
      </c>
      <c r="B12" s="466">
        <f>+'５-１あけみず時間'!B11</f>
        <v>0</v>
      </c>
      <c r="C12" s="467">
        <f>+'５-１あけみず時間'!C11</f>
        <v>0</v>
      </c>
      <c r="D12" s="467">
        <f>+'５-１あけみず時間'!D11</f>
        <v>0</v>
      </c>
      <c r="E12" s="462">
        <f>+'５-１あけみず時間'!E11</f>
        <v>0</v>
      </c>
      <c r="F12" s="463">
        <f>+'５-１あけみず時間'!F11</f>
        <v>0</v>
      </c>
      <c r="G12" s="463">
        <f>+'５-１あけみず時間'!G11</f>
        <v>0</v>
      </c>
      <c r="H12" s="462">
        <f>+'５-１あけみず時間'!H11</f>
        <v>0</v>
      </c>
      <c r="I12" s="463">
        <f>+'５-１あけみず時間'!I11</f>
        <v>0</v>
      </c>
      <c r="J12" s="463">
        <f>+'５-１あけみず時間'!J11</f>
        <v>0</v>
      </c>
      <c r="K12" s="462">
        <f>+'５-１あけみず時間'!K11</f>
        <v>0</v>
      </c>
      <c r="L12" s="463">
        <f>+'５-１あけみず時間'!L11</f>
        <v>0</v>
      </c>
      <c r="M12" s="463">
        <f>+'５-１あけみず時間'!M11</f>
        <v>1.2</v>
      </c>
      <c r="N12" s="462">
        <f>+'５-１あけみず時間'!N11</f>
        <v>0</v>
      </c>
      <c r="O12" s="463">
        <f>+'５-１あけみず時間'!O11</f>
        <v>0</v>
      </c>
      <c r="P12" s="463">
        <f>+'５-１あけみず時間'!P11</f>
        <v>0</v>
      </c>
      <c r="Q12" s="462">
        <f>+'５-１あけみず時間'!Q11</f>
        <v>0</v>
      </c>
      <c r="R12" s="463">
        <f>+'５-１あけみず時間'!R11</f>
        <v>0</v>
      </c>
      <c r="S12" s="463">
        <f>+'５-１あけみず時間'!S11</f>
        <v>0</v>
      </c>
      <c r="T12" s="462">
        <f>+'５-１あけみず時間'!T11</f>
        <v>0</v>
      </c>
      <c r="U12" s="463">
        <f>+'５-１あけみず時間'!U11</f>
        <v>0</v>
      </c>
      <c r="V12" s="463">
        <f>+'５-１あけみず時間'!V11</f>
        <v>0</v>
      </c>
      <c r="W12" s="462">
        <f>+'５-１あけみず時間'!W11</f>
        <v>0</v>
      </c>
      <c r="X12" s="463">
        <f>+'５-１あけみず時間'!X11</f>
        <v>0</v>
      </c>
      <c r="Y12" s="463">
        <f>+'５-１あけみず時間'!Y11</f>
        <v>0</v>
      </c>
      <c r="Z12" s="462">
        <f>+'５-１あけみず時間'!Z11</f>
        <v>0</v>
      </c>
      <c r="AA12" s="463">
        <f>+'５-１あけみず時間'!AA11</f>
        <v>0</v>
      </c>
      <c r="AB12" s="463">
        <f>+'５-１あけみず時間'!AB11</f>
        <v>0</v>
      </c>
      <c r="AC12" s="462">
        <f>+'５-１あけみず時間'!AC11</f>
        <v>0</v>
      </c>
      <c r="AD12" s="463">
        <f>+'５-１あけみず時間'!AD11</f>
        <v>0</v>
      </c>
      <c r="AE12" s="463">
        <f>+'５-１あけみず時間'!AE11</f>
        <v>0</v>
      </c>
      <c r="AF12" s="462">
        <f>+'５-１あけみず時間'!AF11</f>
        <v>0</v>
      </c>
      <c r="AG12" s="463">
        <f>+'５-１あけみず時間'!AG11</f>
        <v>0</v>
      </c>
      <c r="AH12" s="463">
        <f>+'５-１あけみず時間'!AH11</f>
        <v>0</v>
      </c>
      <c r="AI12" s="462">
        <f>+'５-１あけみず時間'!AI11</f>
        <v>0</v>
      </c>
      <c r="AJ12" s="463">
        <f>+'５-１あけみず時間'!AJ11</f>
        <v>0</v>
      </c>
      <c r="AK12" s="463">
        <f>+'５-１あけみず時間'!AK11</f>
        <v>0</v>
      </c>
      <c r="AL12" s="468">
        <f t="shared" si="0"/>
        <v>1.2</v>
      </c>
    </row>
    <row r="13" spans="1:38">
      <c r="A13" s="465" t="s">
        <v>363</v>
      </c>
      <c r="B13" s="466">
        <f>+'５-１あけみず時間'!B12</f>
        <v>0</v>
      </c>
      <c r="C13" s="467">
        <f>+'５-１あけみず時間'!C12</f>
        <v>0</v>
      </c>
      <c r="D13" s="467">
        <f>+'５-１あけみず時間'!D12</f>
        <v>0</v>
      </c>
      <c r="E13" s="462">
        <f>+'５-１あけみず時間'!E12</f>
        <v>0</v>
      </c>
      <c r="F13" s="463">
        <f>+'５-１あけみず時間'!F12</f>
        <v>0</v>
      </c>
      <c r="G13" s="463">
        <f>+'５-１あけみず時間'!G12</f>
        <v>0</v>
      </c>
      <c r="H13" s="462">
        <f>+'５-１あけみず時間'!H12</f>
        <v>0</v>
      </c>
      <c r="I13" s="463">
        <f>+'５-１あけみず時間'!I12</f>
        <v>0</v>
      </c>
      <c r="J13" s="463">
        <f>+'５-１あけみず時間'!J12</f>
        <v>0</v>
      </c>
      <c r="K13" s="462">
        <f>+'５-１あけみず時間'!K12</f>
        <v>0</v>
      </c>
      <c r="L13" s="463">
        <f>+'５-１あけみず時間'!L12</f>
        <v>0</v>
      </c>
      <c r="M13" s="463">
        <f>+'５-１あけみず時間'!M12</f>
        <v>0</v>
      </c>
      <c r="N13" s="462">
        <f>+'５-１あけみず時間'!N12</f>
        <v>0.4</v>
      </c>
      <c r="O13" s="463">
        <f>+'５-１あけみず時間'!O12</f>
        <v>0</v>
      </c>
      <c r="P13" s="463">
        <f>+'５-１あけみず時間'!P12</f>
        <v>0</v>
      </c>
      <c r="Q13" s="462">
        <f>+'５-１あけみず時間'!Q12</f>
        <v>0</v>
      </c>
      <c r="R13" s="463">
        <f>+'５-１あけみず時間'!R12</f>
        <v>0</v>
      </c>
      <c r="S13" s="463">
        <f>+'５-１あけみず時間'!S12</f>
        <v>0</v>
      </c>
      <c r="T13" s="462">
        <f>+'５-１あけみず時間'!T12</f>
        <v>0</v>
      </c>
      <c r="U13" s="463">
        <f>+'５-１あけみず時間'!U12</f>
        <v>0</v>
      </c>
      <c r="V13" s="463">
        <f>+'５-１あけみず時間'!V12</f>
        <v>0.2</v>
      </c>
      <c r="W13" s="462">
        <f>+'５-１あけみず時間'!W12</f>
        <v>0.2</v>
      </c>
      <c r="X13" s="463">
        <f>+'５-１あけみず時間'!X12</f>
        <v>0.1</v>
      </c>
      <c r="Y13" s="463">
        <f>+'５-１あけみず時間'!Y12</f>
        <v>0</v>
      </c>
      <c r="Z13" s="462">
        <f>+'５-１あけみず時間'!Z12</f>
        <v>0</v>
      </c>
      <c r="AA13" s="463">
        <f>+'５-１あけみず時間'!AA12</f>
        <v>0</v>
      </c>
      <c r="AB13" s="463">
        <f>+'５-１あけみず時間'!AB12</f>
        <v>0</v>
      </c>
      <c r="AC13" s="462">
        <f>+'５-１あけみず時間'!AC12</f>
        <v>0</v>
      </c>
      <c r="AD13" s="463">
        <f>+'５-１あけみず時間'!AD12</f>
        <v>0</v>
      </c>
      <c r="AE13" s="463">
        <f>+'５-１あけみず時間'!AE12</f>
        <v>0</v>
      </c>
      <c r="AF13" s="462">
        <f>+'５-１あけみず時間'!AF12</f>
        <v>0</v>
      </c>
      <c r="AG13" s="463">
        <f>+'５-１あけみず時間'!AG12</f>
        <v>0</v>
      </c>
      <c r="AH13" s="463">
        <f>+'５-１あけみず時間'!AH12</f>
        <v>0</v>
      </c>
      <c r="AI13" s="462">
        <f>+'５-１あけみず時間'!AI12</f>
        <v>0</v>
      </c>
      <c r="AJ13" s="463">
        <f>+'５-１あけみず時間'!AJ12</f>
        <v>0</v>
      </c>
      <c r="AK13" s="463">
        <f>+'５-１あけみず時間'!AK12</f>
        <v>0</v>
      </c>
      <c r="AL13" s="468">
        <f t="shared" si="0"/>
        <v>0.9</v>
      </c>
    </row>
    <row r="14" spans="1:38">
      <c r="A14" s="465" t="s">
        <v>364</v>
      </c>
      <c r="B14" s="466">
        <f>+'５-１あけみず時間'!B13</f>
        <v>0</v>
      </c>
      <c r="C14" s="467">
        <f>+'５-１あけみず時間'!C13</f>
        <v>0</v>
      </c>
      <c r="D14" s="467">
        <f>+'５-１あけみず時間'!D13</f>
        <v>0</v>
      </c>
      <c r="E14" s="462">
        <f>+'５-１あけみず時間'!E13</f>
        <v>0</v>
      </c>
      <c r="F14" s="463">
        <f>+'５-１あけみず時間'!F13</f>
        <v>0</v>
      </c>
      <c r="G14" s="463">
        <f>+'５-１あけみず時間'!G13</f>
        <v>0</v>
      </c>
      <c r="H14" s="462">
        <f>+'５-１あけみず時間'!H13</f>
        <v>0</v>
      </c>
      <c r="I14" s="463">
        <f>+'５-１あけみず時間'!I13</f>
        <v>0</v>
      </c>
      <c r="J14" s="463">
        <f>+'５-１あけみず時間'!J13</f>
        <v>0</v>
      </c>
      <c r="K14" s="462">
        <f>+'５-１あけみず時間'!K13</f>
        <v>0</v>
      </c>
      <c r="L14" s="463">
        <f>+'５-１あけみず時間'!L13</f>
        <v>0</v>
      </c>
      <c r="M14" s="463">
        <f>+'５-１あけみず時間'!M13</f>
        <v>0</v>
      </c>
      <c r="N14" s="462">
        <f>+'５-１あけみず時間'!N13</f>
        <v>3</v>
      </c>
      <c r="O14" s="463">
        <f>+'５-１あけみず時間'!O13</f>
        <v>8</v>
      </c>
      <c r="P14" s="463">
        <f>+'５-１あけみず時間'!P13</f>
        <v>8</v>
      </c>
      <c r="Q14" s="462">
        <f>+'５-１あけみず時間'!Q13</f>
        <v>8</v>
      </c>
      <c r="R14" s="463">
        <f>+'５-１あけみず時間'!R13</f>
        <v>8</v>
      </c>
      <c r="S14" s="463">
        <f>+'５-１あけみず時間'!S13</f>
        <v>8</v>
      </c>
      <c r="T14" s="462">
        <f>+'５-１あけみず時間'!T13</f>
        <v>6</v>
      </c>
      <c r="U14" s="463">
        <f>+'５-１あけみず時間'!U13</f>
        <v>3</v>
      </c>
      <c r="V14" s="463">
        <f>+'５-１あけみず時間'!V13</f>
        <v>0</v>
      </c>
      <c r="W14" s="462">
        <f>+'５-１あけみず時間'!W13</f>
        <v>0</v>
      </c>
      <c r="X14" s="463">
        <f>+'５-１あけみず時間'!X13</f>
        <v>0</v>
      </c>
      <c r="Y14" s="463">
        <f>+'５-１あけみず時間'!Y13</f>
        <v>0</v>
      </c>
      <c r="Z14" s="462">
        <f>+'５-１あけみず時間'!Z13</f>
        <v>0</v>
      </c>
      <c r="AA14" s="463">
        <f>+'５-１あけみず時間'!AA13</f>
        <v>0</v>
      </c>
      <c r="AB14" s="463">
        <f>+'５-１あけみず時間'!AB13</f>
        <v>0</v>
      </c>
      <c r="AC14" s="462">
        <f>+'５-１あけみず時間'!AC13</f>
        <v>0</v>
      </c>
      <c r="AD14" s="463">
        <f>+'５-１あけみず時間'!AD13</f>
        <v>0</v>
      </c>
      <c r="AE14" s="463">
        <f>+'５-１あけみず時間'!AE13</f>
        <v>0</v>
      </c>
      <c r="AF14" s="462">
        <f>+'５-１あけみず時間'!AF13</f>
        <v>0</v>
      </c>
      <c r="AG14" s="463">
        <f>+'５-１あけみず時間'!AG13</f>
        <v>0</v>
      </c>
      <c r="AH14" s="463">
        <f>+'５-１あけみず時間'!AH13</f>
        <v>0</v>
      </c>
      <c r="AI14" s="462">
        <f>+'５-１あけみず時間'!AI13</f>
        <v>0</v>
      </c>
      <c r="AJ14" s="463">
        <f>+'５-１あけみず時間'!AJ13</f>
        <v>0</v>
      </c>
      <c r="AK14" s="463">
        <f>+'５-１あけみず時間'!AK13</f>
        <v>0</v>
      </c>
      <c r="AL14" s="468">
        <f t="shared" si="0"/>
        <v>52</v>
      </c>
    </row>
    <row r="15" spans="1:38">
      <c r="A15" s="465" t="s">
        <v>365</v>
      </c>
      <c r="B15" s="466">
        <f>+'５-１あけみず時間'!B14</f>
        <v>0</v>
      </c>
      <c r="C15" s="467">
        <f>+'５-１あけみず時間'!C14</f>
        <v>0</v>
      </c>
      <c r="D15" s="467">
        <f>+'５-１あけみず時間'!D14</f>
        <v>0</v>
      </c>
      <c r="E15" s="462">
        <f>+'５-１あけみず時間'!E14</f>
        <v>0</v>
      </c>
      <c r="F15" s="463">
        <f>+'５-１あけみず時間'!F14</f>
        <v>0</v>
      </c>
      <c r="G15" s="463">
        <f>+'５-１あけみず時間'!G14</f>
        <v>0</v>
      </c>
      <c r="H15" s="462">
        <f>+'５-１あけみず時間'!H14</f>
        <v>0</v>
      </c>
      <c r="I15" s="463">
        <f>+'５-１あけみず時間'!I14</f>
        <v>0</v>
      </c>
      <c r="J15" s="463">
        <f>+'５-１あけみず時間'!J14</f>
        <v>0</v>
      </c>
      <c r="K15" s="462">
        <f>+'５-１あけみず時間'!K14</f>
        <v>0.5</v>
      </c>
      <c r="L15" s="463">
        <f>+'５-１あけみず時間'!L14</f>
        <v>0</v>
      </c>
      <c r="M15" s="463">
        <f>+'５-１あけみず時間'!M14</f>
        <v>0</v>
      </c>
      <c r="N15" s="462">
        <f>+'５-１あけみず時間'!N14</f>
        <v>0.5</v>
      </c>
      <c r="O15" s="463">
        <f>+'５-１あけみず時間'!O14</f>
        <v>0</v>
      </c>
      <c r="P15" s="463">
        <f>+'５-１あけみず時間'!P14</f>
        <v>0</v>
      </c>
      <c r="Q15" s="462">
        <f>+'５-１あけみず時間'!Q14</f>
        <v>0.5</v>
      </c>
      <c r="R15" s="463">
        <f>+'５-１あけみず時間'!R14</f>
        <v>0</v>
      </c>
      <c r="S15" s="463">
        <f>+'５-１あけみず時間'!S14</f>
        <v>0</v>
      </c>
      <c r="T15" s="462">
        <f>+'５-１あけみず時間'!T14</f>
        <v>0</v>
      </c>
      <c r="U15" s="463">
        <f>+'５-１あけみず時間'!U14</f>
        <v>0.4</v>
      </c>
      <c r="V15" s="463">
        <f>+'５-１あけみず時間'!V14</f>
        <v>0</v>
      </c>
      <c r="W15" s="462">
        <f>+'５-１あけみず時間'!W14</f>
        <v>0</v>
      </c>
      <c r="X15" s="463">
        <f>+'５-１あけみず時間'!X14</f>
        <v>0.4</v>
      </c>
      <c r="Y15" s="463">
        <f>+'５-１あけみず時間'!Y14</f>
        <v>0</v>
      </c>
      <c r="Z15" s="462">
        <f>+'５-１あけみず時間'!Z14</f>
        <v>0</v>
      </c>
      <c r="AA15" s="463">
        <f>+'５-１あけみず時間'!AA14</f>
        <v>0</v>
      </c>
      <c r="AB15" s="463">
        <f>+'５-１あけみず時間'!AB14</f>
        <v>0</v>
      </c>
      <c r="AC15" s="462">
        <f>+'５-１あけみず時間'!AC14</f>
        <v>0</v>
      </c>
      <c r="AD15" s="463">
        <f>+'５-１あけみず時間'!AD14</f>
        <v>0</v>
      </c>
      <c r="AE15" s="463">
        <f>+'５-１あけみず時間'!AE14</f>
        <v>0</v>
      </c>
      <c r="AF15" s="462">
        <f>+'５-１あけみず時間'!AF14</f>
        <v>0</v>
      </c>
      <c r="AG15" s="463">
        <f>+'５-１あけみず時間'!AG14</f>
        <v>0</v>
      </c>
      <c r="AH15" s="463">
        <f>+'５-１あけみず時間'!AH14</f>
        <v>0</v>
      </c>
      <c r="AI15" s="462">
        <f>+'５-１あけみず時間'!AI14</f>
        <v>0</v>
      </c>
      <c r="AJ15" s="463">
        <f>+'５-１あけみず時間'!AJ14</f>
        <v>0</v>
      </c>
      <c r="AK15" s="463">
        <f>+'５-１あけみず時間'!AK14</f>
        <v>0</v>
      </c>
      <c r="AL15" s="468">
        <f t="shared" si="0"/>
        <v>2.2999999999999998</v>
      </c>
    </row>
    <row r="16" spans="1:38">
      <c r="A16" s="465" t="s">
        <v>366</v>
      </c>
      <c r="B16" s="466">
        <f>+'５-１あけみず時間'!B15</f>
        <v>0</v>
      </c>
      <c r="C16" s="467">
        <f>+'５-１あけみず時間'!C15</f>
        <v>0</v>
      </c>
      <c r="D16" s="467">
        <f>+'５-１あけみず時間'!D15</f>
        <v>0</v>
      </c>
      <c r="E16" s="462">
        <f>+'５-１あけみず時間'!E15</f>
        <v>0</v>
      </c>
      <c r="F16" s="463">
        <f>+'５-１あけみず時間'!F15</f>
        <v>0</v>
      </c>
      <c r="G16" s="463">
        <f>+'５-１あけみず時間'!G15</f>
        <v>0</v>
      </c>
      <c r="H16" s="462">
        <f>+'５-１あけみず時間'!H15</f>
        <v>0</v>
      </c>
      <c r="I16" s="463">
        <f>+'５-１あけみず時間'!I15</f>
        <v>0</v>
      </c>
      <c r="J16" s="463">
        <f>+'５-１あけみず時間'!J15</f>
        <v>0</v>
      </c>
      <c r="K16" s="462">
        <f>+'５-１あけみず時間'!K15</f>
        <v>0</v>
      </c>
      <c r="L16" s="463">
        <f>+'５-１あけみず時間'!L15</f>
        <v>0</v>
      </c>
      <c r="M16" s="463">
        <f>+'５-１あけみず時間'!M15</f>
        <v>0</v>
      </c>
      <c r="N16" s="462">
        <f>+'５-１あけみず時間'!N15</f>
        <v>0</v>
      </c>
      <c r="O16" s="463">
        <f>+'５-１あけみず時間'!O15</f>
        <v>0</v>
      </c>
      <c r="P16" s="463">
        <f>+'５-１あけみず時間'!P15</f>
        <v>0</v>
      </c>
      <c r="Q16" s="462">
        <f>+'５-１あけみず時間'!Q15</f>
        <v>0</v>
      </c>
      <c r="R16" s="463">
        <f>+'５-１あけみず時間'!R15</f>
        <v>0</v>
      </c>
      <c r="S16" s="463">
        <f>+'５-１あけみず時間'!S15</f>
        <v>2.7</v>
      </c>
      <c r="T16" s="462">
        <f>+'５-１あけみず時間'!T15</f>
        <v>2.7</v>
      </c>
      <c r="U16" s="463">
        <f>+'５-１あけみず時間'!U15</f>
        <v>0</v>
      </c>
      <c r="V16" s="463">
        <f>+'５-１あけみず時間'!V15</f>
        <v>0</v>
      </c>
      <c r="W16" s="462">
        <f>+'５-１あけみず時間'!W15</f>
        <v>0</v>
      </c>
      <c r="X16" s="463">
        <f>+'５-１あけみず時間'!X15</f>
        <v>0</v>
      </c>
      <c r="Y16" s="463">
        <f>+'５-１あけみず時間'!Y15</f>
        <v>0</v>
      </c>
      <c r="Z16" s="462">
        <f>+'５-１あけみず時間'!Z15</f>
        <v>0</v>
      </c>
      <c r="AA16" s="463">
        <f>+'５-１あけみず時間'!AA15</f>
        <v>0</v>
      </c>
      <c r="AB16" s="463">
        <f>+'５-１あけみず時間'!AB15</f>
        <v>0</v>
      </c>
      <c r="AC16" s="462">
        <f>+'５-１あけみず時間'!AC15</f>
        <v>0</v>
      </c>
      <c r="AD16" s="463">
        <f>+'５-１あけみず時間'!AD15</f>
        <v>0</v>
      </c>
      <c r="AE16" s="463">
        <f>+'５-１あけみず時間'!AE15</f>
        <v>0</v>
      </c>
      <c r="AF16" s="462">
        <f>+'５-１あけみず時間'!AF15</f>
        <v>0</v>
      </c>
      <c r="AG16" s="463">
        <f>+'５-１あけみず時間'!AG15</f>
        <v>0</v>
      </c>
      <c r="AH16" s="463">
        <f>+'５-１あけみず時間'!AH15</f>
        <v>0</v>
      </c>
      <c r="AI16" s="462">
        <f>+'５-１あけみず時間'!AI15</f>
        <v>0</v>
      </c>
      <c r="AJ16" s="463">
        <f>+'５-１あけみず時間'!AJ15</f>
        <v>0</v>
      </c>
      <c r="AK16" s="463">
        <f>+'５-１あけみず時間'!AK15</f>
        <v>0</v>
      </c>
      <c r="AL16" s="468">
        <f t="shared" si="0"/>
        <v>5.4</v>
      </c>
    </row>
    <row r="17" spans="1:38">
      <c r="A17" s="449" t="s">
        <v>367</v>
      </c>
      <c r="B17" s="466"/>
      <c r="C17" s="467"/>
      <c r="D17" s="467"/>
      <c r="E17" s="466"/>
      <c r="F17" s="467"/>
      <c r="G17" s="467"/>
      <c r="H17" s="466"/>
      <c r="I17" s="467"/>
      <c r="J17" s="467"/>
      <c r="K17" s="462"/>
      <c r="L17" s="463"/>
      <c r="M17" s="463"/>
      <c r="N17" s="462"/>
      <c r="O17" s="463"/>
      <c r="P17" s="463"/>
      <c r="Q17" s="462"/>
      <c r="R17" s="463"/>
      <c r="S17" s="463"/>
      <c r="T17" s="462"/>
      <c r="U17" s="463"/>
      <c r="V17" s="463"/>
      <c r="W17" s="462"/>
      <c r="X17" s="463" t="s">
        <v>371</v>
      </c>
      <c r="Y17" s="463"/>
      <c r="Z17" s="462"/>
      <c r="AA17" s="463"/>
      <c r="AB17" s="463">
        <v>15</v>
      </c>
      <c r="AC17" s="462">
        <v>30</v>
      </c>
      <c r="AD17" s="463">
        <v>30</v>
      </c>
      <c r="AE17" s="463">
        <v>10</v>
      </c>
      <c r="AF17" s="462"/>
      <c r="AG17" s="463"/>
      <c r="AH17" s="463"/>
      <c r="AI17" s="466"/>
      <c r="AJ17" s="467"/>
      <c r="AK17" s="467"/>
      <c r="AL17" s="468">
        <f t="shared" si="0"/>
        <v>85</v>
      </c>
    </row>
    <row r="18" spans="1:38">
      <c r="A18" s="449" t="s">
        <v>368</v>
      </c>
      <c r="B18" s="466">
        <f>+'５-１あけみず時間'!B17</f>
        <v>0</v>
      </c>
      <c r="C18" s="467">
        <f>+'５-１あけみず時間'!C17</f>
        <v>0</v>
      </c>
      <c r="D18" s="467">
        <f>+'５-１あけみず時間'!D17</f>
        <v>0.1</v>
      </c>
      <c r="E18" s="466">
        <f>+'５-１あけみず時間'!E17</f>
        <v>0.1</v>
      </c>
      <c r="F18" s="467">
        <f>+'５-１あけみず時間'!F17</f>
        <v>0.1</v>
      </c>
      <c r="G18" s="467">
        <f>+'５-１あけみず時間'!G17</f>
        <v>0.1</v>
      </c>
      <c r="H18" s="466">
        <f>+'５-１あけみず時間'!H17</f>
        <v>0.1</v>
      </c>
      <c r="I18" s="467">
        <f>+'５-１あけみず時間'!I17</f>
        <v>0.1</v>
      </c>
      <c r="J18" s="467">
        <f>+'５-１あけみず時間'!J17</f>
        <v>0.1</v>
      </c>
      <c r="K18" s="462">
        <f>+'５-１あけみず時間'!K17</f>
        <v>1</v>
      </c>
      <c r="L18" s="463">
        <f>+'５-１あけみず時間'!L17</f>
        <v>1</v>
      </c>
      <c r="M18" s="463">
        <f>+'５-１あけみず時間'!M17</f>
        <v>0</v>
      </c>
      <c r="N18" s="462">
        <f>+'５-１あけみず時間'!N17</f>
        <v>2</v>
      </c>
      <c r="O18" s="463">
        <f>+'５-１あけみず時間'!O17</f>
        <v>0</v>
      </c>
      <c r="P18" s="463">
        <f>+'５-１あけみず時間'!P17</f>
        <v>0</v>
      </c>
      <c r="Q18" s="462">
        <f>+'５-１あけみず時間'!Q17</f>
        <v>0</v>
      </c>
      <c r="R18" s="463">
        <f>+'５-１あけみず時間'!R17</f>
        <v>0</v>
      </c>
      <c r="S18" s="463">
        <f>+'５-１あけみず時間'!S17</f>
        <v>0</v>
      </c>
      <c r="T18" s="462">
        <f>+'５-１あけみず時間'!T17</f>
        <v>1</v>
      </c>
      <c r="U18" s="463">
        <f>+'５-１あけみず時間'!U17</f>
        <v>1</v>
      </c>
      <c r="V18" s="463">
        <f>+'５-１あけみず時間'!V17</f>
        <v>1</v>
      </c>
      <c r="W18" s="462">
        <f>+'５-１あけみず時間'!W17</f>
        <v>1</v>
      </c>
      <c r="X18" s="463">
        <f>+'５-１あけみず時間'!X17</f>
        <v>1</v>
      </c>
      <c r="Y18" s="463">
        <f>+'５-１あけみず時間'!Y17</f>
        <v>0</v>
      </c>
      <c r="Z18" s="462">
        <f>+'５-１あけみず時間'!Z17</f>
        <v>0</v>
      </c>
      <c r="AA18" s="463">
        <f>+'５-１あけみず時間'!AA17</f>
        <v>0</v>
      </c>
      <c r="AB18" s="463">
        <f>+'５-１あけみず時間'!AB17</f>
        <v>0</v>
      </c>
      <c r="AC18" s="462">
        <f>+'５-１あけみず時間'!AC17</f>
        <v>1</v>
      </c>
      <c r="AD18" s="463">
        <f>+'５-１あけみず時間'!AD17</f>
        <v>1</v>
      </c>
      <c r="AE18" s="463">
        <f>+'５-１あけみず時間'!AE17</f>
        <v>1</v>
      </c>
      <c r="AF18" s="462">
        <f>+'５-１あけみず時間'!AF17</f>
        <v>2</v>
      </c>
      <c r="AG18" s="463">
        <f>+'５-１あけみず時間'!AG17</f>
        <v>1</v>
      </c>
      <c r="AH18" s="463">
        <f>+'５-１あけみず時間'!AH17</f>
        <v>1</v>
      </c>
      <c r="AI18" s="466">
        <f>+'５-１あけみず時間'!AI17</f>
        <v>1</v>
      </c>
      <c r="AJ18" s="467">
        <f>+'５-１あけみず時間'!AJ17</f>
        <v>1</v>
      </c>
      <c r="AK18" s="467">
        <f>+'５-１あけみず時間'!AK17</f>
        <v>1</v>
      </c>
      <c r="AL18" s="468">
        <f t="shared" si="0"/>
        <v>19.7</v>
      </c>
    </row>
    <row r="19" spans="1:38">
      <c r="A19" s="469" t="s">
        <v>369</v>
      </c>
      <c r="B19" s="466">
        <f t="shared" ref="B19:AK19" si="1">SUM(B8:B18)</f>
        <v>3.5</v>
      </c>
      <c r="C19" s="470">
        <f t="shared" si="1"/>
        <v>3.5</v>
      </c>
      <c r="D19" s="471">
        <f t="shared" si="1"/>
        <v>3.6</v>
      </c>
      <c r="E19" s="466">
        <f t="shared" si="1"/>
        <v>3.6</v>
      </c>
      <c r="F19" s="470">
        <f t="shared" si="1"/>
        <v>3.6</v>
      </c>
      <c r="G19" s="471">
        <f t="shared" si="1"/>
        <v>3.6</v>
      </c>
      <c r="H19" s="466">
        <f t="shared" si="1"/>
        <v>3.6</v>
      </c>
      <c r="I19" s="470">
        <f t="shared" si="1"/>
        <v>3.6</v>
      </c>
      <c r="J19" s="471">
        <f t="shared" si="1"/>
        <v>4.0999999999999996</v>
      </c>
      <c r="K19" s="466">
        <f t="shared" si="1"/>
        <v>1.75</v>
      </c>
      <c r="L19" s="470">
        <f t="shared" si="1"/>
        <v>4.75</v>
      </c>
      <c r="M19" s="471">
        <f t="shared" si="1"/>
        <v>5.45</v>
      </c>
      <c r="N19" s="466">
        <f t="shared" si="1"/>
        <v>6.15</v>
      </c>
      <c r="O19" s="470">
        <f t="shared" si="1"/>
        <v>8.25</v>
      </c>
      <c r="P19" s="471">
        <f t="shared" si="1"/>
        <v>8.25</v>
      </c>
      <c r="Q19" s="466">
        <f t="shared" si="1"/>
        <v>8.75</v>
      </c>
      <c r="R19" s="470">
        <f t="shared" si="1"/>
        <v>8.25</v>
      </c>
      <c r="S19" s="471">
        <f t="shared" si="1"/>
        <v>10.95</v>
      </c>
      <c r="T19" s="466">
        <f t="shared" si="1"/>
        <v>10.45</v>
      </c>
      <c r="U19" s="470">
        <f t="shared" si="1"/>
        <v>4.6500000000000004</v>
      </c>
      <c r="V19" s="471">
        <f t="shared" si="1"/>
        <v>1.45</v>
      </c>
      <c r="W19" s="466">
        <f t="shared" si="1"/>
        <v>1.45</v>
      </c>
      <c r="X19" s="470">
        <f t="shared" si="1"/>
        <v>1.5</v>
      </c>
      <c r="Y19" s="471">
        <f t="shared" si="1"/>
        <v>0</v>
      </c>
      <c r="Z19" s="466">
        <f t="shared" si="1"/>
        <v>0.75</v>
      </c>
      <c r="AA19" s="470">
        <f t="shared" si="1"/>
        <v>0</v>
      </c>
      <c r="AB19" s="471">
        <f t="shared" si="1"/>
        <v>15</v>
      </c>
      <c r="AC19" s="466">
        <f t="shared" si="1"/>
        <v>31</v>
      </c>
      <c r="AD19" s="470">
        <f t="shared" si="1"/>
        <v>31.25</v>
      </c>
      <c r="AE19" s="471">
        <f t="shared" si="1"/>
        <v>11.9</v>
      </c>
      <c r="AF19" s="466">
        <f t="shared" si="1"/>
        <v>2</v>
      </c>
      <c r="AG19" s="470">
        <f t="shared" si="1"/>
        <v>1</v>
      </c>
      <c r="AH19" s="471">
        <f t="shared" si="1"/>
        <v>1</v>
      </c>
      <c r="AI19" s="466">
        <f t="shared" si="1"/>
        <v>4</v>
      </c>
      <c r="AJ19" s="470">
        <f t="shared" si="1"/>
        <v>4</v>
      </c>
      <c r="AK19" s="471">
        <f t="shared" si="1"/>
        <v>4.5</v>
      </c>
      <c r="AL19" s="468"/>
    </row>
    <row r="20" spans="1:38" ht="14.25" thickBot="1">
      <c r="A20" s="472" t="s">
        <v>370</v>
      </c>
      <c r="B20" s="473"/>
      <c r="C20" s="474">
        <f>SUM(B19:D19)</f>
        <v>10.6</v>
      </c>
      <c r="D20" s="474"/>
      <c r="E20" s="473"/>
      <c r="F20" s="474">
        <f>SUM(E19:G19)</f>
        <v>10.8</v>
      </c>
      <c r="G20" s="474"/>
      <c r="H20" s="473"/>
      <c r="I20" s="474">
        <f>SUM(H19:J19)</f>
        <v>11.3</v>
      </c>
      <c r="J20" s="474"/>
      <c r="K20" s="473"/>
      <c r="L20" s="474">
        <f>SUM(K19:M19)</f>
        <v>11.95</v>
      </c>
      <c r="M20" s="474"/>
      <c r="N20" s="473"/>
      <c r="O20" s="474">
        <f>SUM(N19:P19)</f>
        <v>22.65</v>
      </c>
      <c r="P20" s="474"/>
      <c r="Q20" s="473"/>
      <c r="R20" s="474">
        <f>SUM(Q19:S19)</f>
        <v>27.95</v>
      </c>
      <c r="S20" s="474"/>
      <c r="T20" s="473"/>
      <c r="U20" s="474">
        <f>SUM(T19:V19)</f>
        <v>16.55</v>
      </c>
      <c r="V20" s="474"/>
      <c r="W20" s="473"/>
      <c r="X20" s="474">
        <f>SUM(W19:Y19)</f>
        <v>2.95</v>
      </c>
      <c r="Y20" s="474"/>
      <c r="Z20" s="473"/>
      <c r="AA20" s="474">
        <f>SUM(Z19:AB19)</f>
        <v>15.75</v>
      </c>
      <c r="AB20" s="474"/>
      <c r="AC20" s="473"/>
      <c r="AD20" s="474">
        <f>SUM(AC19:AE19)</f>
        <v>74.150000000000006</v>
      </c>
      <c r="AE20" s="474"/>
      <c r="AF20" s="473"/>
      <c r="AG20" s="474">
        <f>SUM(AF19:AH19)</f>
        <v>4</v>
      </c>
      <c r="AH20" s="474"/>
      <c r="AI20" s="473"/>
      <c r="AJ20" s="474">
        <f>SUM(AI19:AK19)</f>
        <v>12.5</v>
      </c>
      <c r="AK20" s="474"/>
      <c r="AL20" s="475">
        <f>SUM(B20:AK20)</f>
        <v>221.15</v>
      </c>
    </row>
  </sheetData>
  <phoneticPr fontId="4"/>
  <conditionalFormatting sqref="B8:AK18">
    <cfRule type="cellIs" dxfId="9" priority="1" operator="equal">
      <formula>0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3"/>
  <sheetViews>
    <sheetView zoomScale="75" zoomScaleNormal="75" zoomScaleSheetLayoutView="75" workbookViewId="0"/>
  </sheetViews>
  <sheetFormatPr defaultRowHeight="13.5"/>
  <cols>
    <col min="1" max="1" width="1.625" style="23" customWidth="1"/>
    <col min="2" max="2" width="5" style="23" customWidth="1"/>
    <col min="3" max="3" width="22.5" style="23" bestFit="1" customWidth="1"/>
    <col min="4" max="4" width="30" style="23" bestFit="1" customWidth="1"/>
    <col min="5" max="6" width="6" style="23" bestFit="1" customWidth="1"/>
    <col min="7" max="7" width="17.625" style="23" customWidth="1"/>
    <col min="8" max="8" width="10.625" style="23" customWidth="1"/>
    <col min="9" max="9" width="17.625" style="23" customWidth="1"/>
    <col min="10" max="10" width="10.625" style="23" customWidth="1"/>
    <col min="11" max="11" width="15.125" style="24" bestFit="1" customWidth="1"/>
    <col min="12" max="12" width="17.625" style="23" customWidth="1"/>
    <col min="13" max="13" width="10.625" style="23" customWidth="1"/>
    <col min="14" max="14" width="17.625" style="23" customWidth="1"/>
    <col min="15" max="15" width="10.625" style="23" customWidth="1"/>
    <col min="16" max="16" width="19.75" style="23" bestFit="1" customWidth="1"/>
    <col min="17" max="17" width="10.625" style="23" hidden="1" customWidth="1"/>
    <col min="18" max="16384" width="9" style="23"/>
  </cols>
  <sheetData>
    <row r="1" spans="2:17" ht="9.9499999999999993" customHeight="1"/>
    <row r="2" spans="2:17" ht="24.95" customHeight="1" thickBot="1">
      <c r="B2" s="3" t="s">
        <v>582</v>
      </c>
      <c r="C2" s="3"/>
      <c r="D2" s="3"/>
      <c r="E2" s="25"/>
      <c r="F2" s="747"/>
      <c r="G2" s="748"/>
      <c r="H2" s="250" t="s">
        <v>188</v>
      </c>
      <c r="I2" s="243" t="s">
        <v>295</v>
      </c>
      <c r="J2" s="243"/>
      <c r="K2" s="250" t="s">
        <v>189</v>
      </c>
      <c r="L2" s="243" t="s">
        <v>337</v>
      </c>
      <c r="M2" s="26"/>
      <c r="P2" s="247"/>
    </row>
    <row r="3" spans="2:17" ht="20.100000000000001" customHeight="1" thickBot="1">
      <c r="B3" s="749" t="s">
        <v>69</v>
      </c>
      <c r="C3" s="742" t="s">
        <v>34</v>
      </c>
      <c r="D3" s="742" t="s">
        <v>97</v>
      </c>
      <c r="E3" s="751" t="s">
        <v>35</v>
      </c>
      <c r="F3" s="752"/>
      <c r="G3" s="248" t="s">
        <v>36</v>
      </c>
      <c r="H3" s="248" t="s">
        <v>99</v>
      </c>
      <c r="I3" s="248" t="s">
        <v>98</v>
      </c>
      <c r="J3" s="742" t="s">
        <v>75</v>
      </c>
      <c r="K3" s="27" t="s">
        <v>192</v>
      </c>
      <c r="L3" s="248" t="s">
        <v>37</v>
      </c>
      <c r="M3" s="248" t="s">
        <v>100</v>
      </c>
      <c r="N3" s="248" t="s">
        <v>38</v>
      </c>
      <c r="O3" s="437" t="s">
        <v>590</v>
      </c>
      <c r="P3" s="541" t="s">
        <v>39</v>
      </c>
      <c r="Q3" s="535" t="s">
        <v>529</v>
      </c>
    </row>
    <row r="4" spans="2:17" ht="20.100000000000001" customHeight="1" thickBot="1">
      <c r="B4" s="750"/>
      <c r="C4" s="743"/>
      <c r="D4" s="743"/>
      <c r="E4" s="5" t="s">
        <v>76</v>
      </c>
      <c r="F4" s="5" t="s">
        <v>7</v>
      </c>
      <c r="G4" s="6" t="s">
        <v>193</v>
      </c>
      <c r="H4" s="6" t="s">
        <v>194</v>
      </c>
      <c r="I4" s="6" t="s">
        <v>102</v>
      </c>
      <c r="J4" s="743"/>
      <c r="K4" s="7" t="s">
        <v>195</v>
      </c>
      <c r="L4" s="6" t="s">
        <v>196</v>
      </c>
      <c r="M4" s="6" t="s">
        <v>197</v>
      </c>
      <c r="N4" s="6" t="s">
        <v>103</v>
      </c>
      <c r="O4" s="542" t="s">
        <v>198</v>
      </c>
      <c r="P4" s="543" t="s">
        <v>199</v>
      </c>
      <c r="Q4" s="536" t="s">
        <v>530</v>
      </c>
    </row>
    <row r="5" spans="2:17" ht="20.100000000000001" customHeight="1" thickBot="1">
      <c r="B5" s="745" t="s">
        <v>585</v>
      </c>
      <c r="C5" s="251" t="s">
        <v>191</v>
      </c>
      <c r="D5" s="251" t="s">
        <v>336</v>
      </c>
      <c r="E5" s="251">
        <v>800</v>
      </c>
      <c r="F5" s="28" t="s">
        <v>190</v>
      </c>
      <c r="G5" s="251">
        <f>59400*E5</f>
        <v>47520000</v>
      </c>
      <c r="H5" s="252">
        <v>0</v>
      </c>
      <c r="I5" s="251">
        <f t="shared" ref="I5:I6" si="0">G5*(1-H5)</f>
        <v>47520000</v>
      </c>
      <c r="J5" s="251">
        <v>4000</v>
      </c>
      <c r="K5" s="533">
        <f>10/4000</f>
        <v>2.5000000000000001E-3</v>
      </c>
      <c r="L5" s="22">
        <f t="shared" ref="L5:L6" si="1">I5*K5</f>
        <v>118800</v>
      </c>
      <c r="M5" s="30">
        <v>0</v>
      </c>
      <c r="N5" s="22">
        <f t="shared" ref="N5:N10" si="2">L5*M5/100</f>
        <v>0</v>
      </c>
      <c r="O5" s="438">
        <v>20</v>
      </c>
      <c r="P5" s="120">
        <f t="shared" ref="P5:P10" si="3">IF(O5="","",(L5-N5)/O5)</f>
        <v>5940</v>
      </c>
      <c r="Q5" s="537"/>
    </row>
    <row r="6" spans="2:17" ht="20.100000000000001" customHeight="1" thickBot="1">
      <c r="B6" s="745"/>
      <c r="C6" s="251" t="s">
        <v>306</v>
      </c>
      <c r="D6" s="8" t="s">
        <v>307</v>
      </c>
      <c r="E6" s="251">
        <v>40</v>
      </c>
      <c r="F6" s="28" t="s">
        <v>331</v>
      </c>
      <c r="G6" s="251">
        <f>700000*E6*10</f>
        <v>280000000</v>
      </c>
      <c r="H6" s="252">
        <v>0.5</v>
      </c>
      <c r="I6" s="251">
        <f t="shared" si="0"/>
        <v>140000000</v>
      </c>
      <c r="J6" s="251">
        <v>4000</v>
      </c>
      <c r="K6" s="533">
        <f t="shared" ref="K6:K22" si="4">10/4000</f>
        <v>2.5000000000000001E-3</v>
      </c>
      <c r="L6" s="22">
        <f t="shared" si="1"/>
        <v>350000</v>
      </c>
      <c r="M6" s="30">
        <v>0</v>
      </c>
      <c r="N6" s="22">
        <f t="shared" si="2"/>
        <v>0</v>
      </c>
      <c r="O6" s="438">
        <v>15</v>
      </c>
      <c r="P6" s="120">
        <f t="shared" si="3"/>
        <v>23333.333333333332</v>
      </c>
      <c r="Q6" s="537">
        <f>+G6/E6/10</f>
        <v>700000</v>
      </c>
    </row>
    <row r="7" spans="2:17" ht="20.100000000000001" customHeight="1" thickBot="1">
      <c r="B7" s="745"/>
      <c r="C7" s="251" t="s">
        <v>308</v>
      </c>
      <c r="D7" s="251" t="s">
        <v>326</v>
      </c>
      <c r="E7" s="254">
        <v>40</v>
      </c>
      <c r="F7" s="28" t="s">
        <v>331</v>
      </c>
      <c r="G7" s="251">
        <f>120000*10*40</f>
        <v>48000000</v>
      </c>
      <c r="H7" s="252">
        <v>0.5</v>
      </c>
      <c r="I7" s="251">
        <f t="shared" ref="I7:I10" si="5">G7*(1-H7)</f>
        <v>24000000</v>
      </c>
      <c r="J7" s="251">
        <v>4000</v>
      </c>
      <c r="K7" s="533">
        <f t="shared" si="4"/>
        <v>2.5000000000000001E-3</v>
      </c>
      <c r="L7" s="22">
        <f t="shared" ref="L7:L10" si="6">I7*K7</f>
        <v>60000</v>
      </c>
      <c r="M7" s="30">
        <v>0</v>
      </c>
      <c r="N7" s="22">
        <f t="shared" si="2"/>
        <v>0</v>
      </c>
      <c r="O7" s="438">
        <v>7</v>
      </c>
      <c r="P7" s="120">
        <f t="shared" si="3"/>
        <v>8571.4285714285706</v>
      </c>
      <c r="Q7" s="537">
        <f t="shared" ref="Q7:Q10" si="7">+G7/E7/10</f>
        <v>120000</v>
      </c>
    </row>
    <row r="8" spans="2:17" ht="20.100000000000001" customHeight="1" thickBot="1">
      <c r="B8" s="745"/>
      <c r="C8" s="251" t="s">
        <v>309</v>
      </c>
      <c r="D8" s="251" t="s">
        <v>310</v>
      </c>
      <c r="E8" s="254">
        <v>30</v>
      </c>
      <c r="F8" s="28" t="s">
        <v>331</v>
      </c>
      <c r="G8" s="251">
        <f>450000*10*E8</f>
        <v>135000000</v>
      </c>
      <c r="H8" s="252">
        <v>0.5</v>
      </c>
      <c r="I8" s="251">
        <f t="shared" ref="I8:I9" si="8">G8*(1-H8)</f>
        <v>67500000</v>
      </c>
      <c r="J8" s="251">
        <v>4000</v>
      </c>
      <c r="K8" s="533">
        <f t="shared" si="4"/>
        <v>2.5000000000000001E-3</v>
      </c>
      <c r="L8" s="22">
        <f t="shared" ref="L8:L9" si="9">I8*K8</f>
        <v>168750</v>
      </c>
      <c r="M8" s="30">
        <v>0</v>
      </c>
      <c r="N8" s="22">
        <f t="shared" ref="N8:N9" si="10">L8*M8/100</f>
        <v>0</v>
      </c>
      <c r="O8" s="438">
        <v>7</v>
      </c>
      <c r="P8" s="120">
        <f t="shared" si="3"/>
        <v>24107.142857142859</v>
      </c>
      <c r="Q8" s="537">
        <f t="shared" si="7"/>
        <v>450000</v>
      </c>
    </row>
    <row r="9" spans="2:17" ht="20.100000000000001" customHeight="1" thickBot="1">
      <c r="B9" s="745"/>
      <c r="C9" s="251" t="s">
        <v>327</v>
      </c>
      <c r="D9" s="251" t="s">
        <v>328</v>
      </c>
      <c r="E9" s="254">
        <v>40</v>
      </c>
      <c r="F9" s="28" t="s">
        <v>331</v>
      </c>
      <c r="G9" s="251">
        <f>250000*E9*10</f>
        <v>100000000</v>
      </c>
      <c r="H9" s="252">
        <v>0.5</v>
      </c>
      <c r="I9" s="251">
        <f t="shared" si="8"/>
        <v>50000000</v>
      </c>
      <c r="J9" s="251">
        <v>4000</v>
      </c>
      <c r="K9" s="533">
        <f t="shared" si="4"/>
        <v>2.5000000000000001E-3</v>
      </c>
      <c r="L9" s="22">
        <f t="shared" si="9"/>
        <v>125000</v>
      </c>
      <c r="M9" s="30">
        <v>0</v>
      </c>
      <c r="N9" s="22">
        <f t="shared" si="10"/>
        <v>0</v>
      </c>
      <c r="O9" s="438">
        <v>7</v>
      </c>
      <c r="P9" s="120">
        <f t="shared" ref="P9" si="11">IF(O9="","",(L9-N9)/O9)</f>
        <v>17857.142857142859</v>
      </c>
      <c r="Q9" s="537">
        <f t="shared" si="7"/>
        <v>250000</v>
      </c>
    </row>
    <row r="10" spans="2:17" ht="20.100000000000001" customHeight="1" thickBot="1">
      <c r="B10" s="745"/>
      <c r="C10" s="22" t="s">
        <v>342</v>
      </c>
      <c r="D10" s="22" t="s">
        <v>336</v>
      </c>
      <c r="E10" s="22">
        <v>500</v>
      </c>
      <c r="F10" s="28" t="s">
        <v>190</v>
      </c>
      <c r="G10" s="22">
        <f>59400*E10</f>
        <v>29700000</v>
      </c>
      <c r="H10" s="252">
        <v>0</v>
      </c>
      <c r="I10" s="22">
        <f t="shared" si="5"/>
        <v>29700000</v>
      </c>
      <c r="J10" s="251">
        <v>4000</v>
      </c>
      <c r="K10" s="533">
        <f t="shared" si="4"/>
        <v>2.5000000000000001E-3</v>
      </c>
      <c r="L10" s="22">
        <f t="shared" si="6"/>
        <v>74250</v>
      </c>
      <c r="M10" s="30">
        <v>0</v>
      </c>
      <c r="N10" s="22">
        <f t="shared" si="2"/>
        <v>0</v>
      </c>
      <c r="O10" s="438">
        <v>25</v>
      </c>
      <c r="P10" s="120">
        <f t="shared" si="3"/>
        <v>2970</v>
      </c>
      <c r="Q10" s="537">
        <f t="shared" si="7"/>
        <v>5940</v>
      </c>
    </row>
    <row r="11" spans="2:17" ht="20.100000000000001" customHeight="1" thickBot="1">
      <c r="B11" s="746"/>
      <c r="C11" s="31" t="s">
        <v>40</v>
      </c>
      <c r="D11" s="32"/>
      <c r="E11" s="32"/>
      <c r="F11" s="33"/>
      <c r="G11" s="32">
        <f>SUM(G5:G10)</f>
        <v>640220000</v>
      </c>
      <c r="H11" s="32"/>
      <c r="I11" s="32">
        <f>SUM(I5:I10)</f>
        <v>358720000</v>
      </c>
      <c r="J11" s="32"/>
      <c r="K11" s="34"/>
      <c r="L11" s="32">
        <f>SUM(L5:L10)</f>
        <v>896800</v>
      </c>
      <c r="M11" s="32"/>
      <c r="N11" s="32"/>
      <c r="O11" s="439"/>
      <c r="P11" s="544">
        <f>SUM(P5:P10)</f>
        <v>82779.047619047618</v>
      </c>
      <c r="Q11" s="538"/>
    </row>
    <row r="12" spans="2:17" ht="20.100000000000001" customHeight="1" thickBot="1">
      <c r="B12" s="744" t="s">
        <v>145</v>
      </c>
      <c r="C12" s="251" t="s">
        <v>259</v>
      </c>
      <c r="D12" s="251" t="s">
        <v>452</v>
      </c>
      <c r="E12" s="251">
        <v>8</v>
      </c>
      <c r="F12" s="28" t="s">
        <v>42</v>
      </c>
      <c r="G12" s="251">
        <f>6800400*8</f>
        <v>54403200</v>
      </c>
      <c r="H12" s="252">
        <v>0</v>
      </c>
      <c r="I12" s="251">
        <f>G12*(1-H12)</f>
        <v>54403200</v>
      </c>
      <c r="J12" s="251">
        <v>4000</v>
      </c>
      <c r="K12" s="533">
        <f t="shared" si="4"/>
        <v>2.5000000000000001E-3</v>
      </c>
      <c r="L12" s="251">
        <f>I12*K12</f>
        <v>136008</v>
      </c>
      <c r="M12" s="35">
        <v>0</v>
      </c>
      <c r="N12" s="22">
        <f>L12*M12</f>
        <v>0</v>
      </c>
      <c r="O12" s="525">
        <v>7</v>
      </c>
      <c r="P12" s="120">
        <f t="shared" ref="P12:P22" si="12">IF(O12="","",(L12-N12)/O12)</f>
        <v>19429.714285714286</v>
      </c>
      <c r="Q12" s="539"/>
    </row>
    <row r="13" spans="2:17" ht="20.100000000000001" customHeight="1" thickBot="1">
      <c r="B13" s="745"/>
      <c r="C13" s="251" t="s">
        <v>260</v>
      </c>
      <c r="D13" s="251" t="s">
        <v>330</v>
      </c>
      <c r="E13" s="251">
        <v>6</v>
      </c>
      <c r="F13" s="28" t="s">
        <v>42</v>
      </c>
      <c r="G13" s="251">
        <f>5500000*6</f>
        <v>33000000</v>
      </c>
      <c r="H13" s="252">
        <v>0</v>
      </c>
      <c r="I13" s="251">
        <f>G13*(1-H13)</f>
        <v>33000000</v>
      </c>
      <c r="J13" s="251">
        <v>4000</v>
      </c>
      <c r="K13" s="533">
        <f t="shared" si="4"/>
        <v>2.5000000000000001E-3</v>
      </c>
      <c r="L13" s="251">
        <f t="shared" ref="L13:L22" si="13">I13*K13</f>
        <v>82500</v>
      </c>
      <c r="M13" s="35">
        <v>0</v>
      </c>
      <c r="N13" s="22">
        <f t="shared" ref="N13:N22" si="14">L13*M13</f>
        <v>0</v>
      </c>
      <c r="O13" s="525">
        <v>7</v>
      </c>
      <c r="P13" s="120">
        <f t="shared" si="12"/>
        <v>11785.714285714286</v>
      </c>
      <c r="Q13" s="539"/>
    </row>
    <row r="14" spans="2:17" ht="20.100000000000001" customHeight="1" thickBot="1">
      <c r="B14" s="745"/>
      <c r="C14" s="251" t="s">
        <v>303</v>
      </c>
      <c r="D14" s="251"/>
      <c r="E14" s="251">
        <v>1</v>
      </c>
      <c r="F14" s="28" t="s">
        <v>42</v>
      </c>
      <c r="G14" s="251">
        <v>400000</v>
      </c>
      <c r="H14" s="252">
        <v>0</v>
      </c>
      <c r="I14" s="251">
        <f t="shared" ref="I14:I15" si="15">G14*(1-H14)</f>
        <v>400000</v>
      </c>
      <c r="J14" s="251">
        <v>4000</v>
      </c>
      <c r="K14" s="533">
        <f t="shared" si="4"/>
        <v>2.5000000000000001E-3</v>
      </c>
      <c r="L14" s="251">
        <f t="shared" si="13"/>
        <v>1000</v>
      </c>
      <c r="M14" s="35">
        <v>0</v>
      </c>
      <c r="N14" s="22">
        <f t="shared" ref="N14:N15" si="16">L14*M14</f>
        <v>0</v>
      </c>
      <c r="O14" s="438">
        <v>7</v>
      </c>
      <c r="P14" s="120">
        <f t="shared" ref="P14:P15" si="17">IF(O14="","",(L14-N14)/O14)</f>
        <v>142.85714285714286</v>
      </c>
      <c r="Q14" s="537"/>
    </row>
    <row r="15" spans="2:17" ht="20.100000000000001" customHeight="1" thickBot="1">
      <c r="B15" s="745"/>
      <c r="C15" s="8" t="s">
        <v>304</v>
      </c>
      <c r="D15" s="8"/>
      <c r="E15" s="251">
        <v>2</v>
      </c>
      <c r="F15" s="262" t="s">
        <v>205</v>
      </c>
      <c r="G15" s="251">
        <f>4000000*2</f>
        <v>8000000</v>
      </c>
      <c r="H15" s="252">
        <v>0</v>
      </c>
      <c r="I15" s="251">
        <f t="shared" si="15"/>
        <v>8000000</v>
      </c>
      <c r="J15" s="251">
        <v>4000</v>
      </c>
      <c r="K15" s="533">
        <f t="shared" si="4"/>
        <v>2.5000000000000001E-3</v>
      </c>
      <c r="L15" s="251">
        <f t="shared" si="13"/>
        <v>20000</v>
      </c>
      <c r="M15" s="35">
        <v>0</v>
      </c>
      <c r="N15" s="22">
        <f t="shared" si="16"/>
        <v>0</v>
      </c>
      <c r="O15" s="438">
        <v>7</v>
      </c>
      <c r="P15" s="120">
        <f t="shared" si="17"/>
        <v>2857.1428571428573</v>
      </c>
      <c r="Q15" s="537"/>
    </row>
    <row r="16" spans="2:17" ht="20.100000000000001" customHeight="1" thickBot="1">
      <c r="B16" s="745"/>
      <c r="C16" s="251" t="s">
        <v>305</v>
      </c>
      <c r="D16" s="251"/>
      <c r="E16" s="251">
        <v>2</v>
      </c>
      <c r="F16" s="28" t="s">
        <v>77</v>
      </c>
      <c r="G16" s="251">
        <f>2400000*2</f>
        <v>4800000</v>
      </c>
      <c r="H16" s="252">
        <v>0</v>
      </c>
      <c r="I16" s="251">
        <f t="shared" ref="I16:I28" si="18">G16*(1-H16)</f>
        <v>4800000</v>
      </c>
      <c r="J16" s="251">
        <v>4000</v>
      </c>
      <c r="K16" s="533">
        <f t="shared" si="4"/>
        <v>2.5000000000000001E-3</v>
      </c>
      <c r="L16" s="251">
        <f t="shared" si="13"/>
        <v>12000</v>
      </c>
      <c r="M16" s="35">
        <v>0</v>
      </c>
      <c r="N16" s="22">
        <f t="shared" si="14"/>
        <v>0</v>
      </c>
      <c r="O16" s="438">
        <v>7</v>
      </c>
      <c r="P16" s="120">
        <f t="shared" si="12"/>
        <v>1714.2857142857142</v>
      </c>
      <c r="Q16" s="537"/>
    </row>
    <row r="17" spans="2:17" ht="20.100000000000001" customHeight="1" thickBot="1">
      <c r="B17" s="745"/>
      <c r="C17" s="521" t="s">
        <v>329</v>
      </c>
      <c r="D17" s="521"/>
      <c r="E17" s="521">
        <v>6</v>
      </c>
      <c r="F17" s="522" t="s">
        <v>338</v>
      </c>
      <c r="G17" s="521">
        <f>500000*E17</f>
        <v>3000000</v>
      </c>
      <c r="H17" s="523">
        <v>0</v>
      </c>
      <c r="I17" s="521">
        <f t="shared" ref="I17" si="19">G17*(1-H17)</f>
        <v>3000000</v>
      </c>
      <c r="J17" s="251">
        <v>4000</v>
      </c>
      <c r="K17" s="533">
        <f t="shared" si="4"/>
        <v>2.5000000000000001E-3</v>
      </c>
      <c r="L17" s="521">
        <f t="shared" si="13"/>
        <v>7500</v>
      </c>
      <c r="M17" s="35">
        <v>0</v>
      </c>
      <c r="N17" s="36">
        <f t="shared" si="14"/>
        <v>0</v>
      </c>
      <c r="O17" s="525">
        <v>7</v>
      </c>
      <c r="P17" s="545">
        <f t="shared" si="12"/>
        <v>1071.4285714285713</v>
      </c>
      <c r="Q17" s="540"/>
    </row>
    <row r="18" spans="2:17" ht="20.100000000000001" customHeight="1" thickBot="1">
      <c r="B18" s="745"/>
      <c r="C18" s="251" t="s">
        <v>334</v>
      </c>
      <c r="D18" s="251"/>
      <c r="E18" s="251">
        <v>2</v>
      </c>
      <c r="F18" s="28" t="s">
        <v>421</v>
      </c>
      <c r="G18" s="251">
        <f>520000*2</f>
        <v>1040000</v>
      </c>
      <c r="H18" s="252">
        <v>0</v>
      </c>
      <c r="I18" s="251">
        <f t="shared" ref="I18" si="20">G18*(1-H18)</f>
        <v>1040000</v>
      </c>
      <c r="J18" s="251">
        <v>4000</v>
      </c>
      <c r="K18" s="533">
        <f t="shared" si="4"/>
        <v>2.5000000000000001E-3</v>
      </c>
      <c r="L18" s="251">
        <f t="shared" si="13"/>
        <v>2600</v>
      </c>
      <c r="M18" s="35">
        <v>0</v>
      </c>
      <c r="N18" s="22">
        <f t="shared" si="14"/>
        <v>0</v>
      </c>
      <c r="O18" s="438">
        <v>7</v>
      </c>
      <c r="P18" s="120">
        <f t="shared" si="12"/>
        <v>371.42857142857144</v>
      </c>
      <c r="Q18" s="537"/>
    </row>
    <row r="19" spans="2:17" ht="20.100000000000001" customHeight="1" thickBot="1">
      <c r="B19" s="745"/>
      <c r="C19" s="251" t="s">
        <v>332</v>
      </c>
      <c r="D19" s="251" t="s">
        <v>339</v>
      </c>
      <c r="E19" s="251">
        <v>2</v>
      </c>
      <c r="F19" s="28" t="s">
        <v>338</v>
      </c>
      <c r="G19" s="251">
        <f>6640000*2</f>
        <v>13280000</v>
      </c>
      <c r="H19" s="252">
        <v>0</v>
      </c>
      <c r="I19" s="251">
        <f t="shared" si="18"/>
        <v>13280000</v>
      </c>
      <c r="J19" s="251">
        <v>4000</v>
      </c>
      <c r="K19" s="533">
        <f t="shared" si="4"/>
        <v>2.5000000000000001E-3</v>
      </c>
      <c r="L19" s="251">
        <f t="shared" si="13"/>
        <v>33200</v>
      </c>
      <c r="M19" s="35">
        <v>0</v>
      </c>
      <c r="N19" s="22">
        <f t="shared" si="14"/>
        <v>0</v>
      </c>
      <c r="O19" s="438">
        <v>5</v>
      </c>
      <c r="P19" s="120">
        <f t="shared" si="12"/>
        <v>6640</v>
      </c>
      <c r="Q19" s="537"/>
    </row>
    <row r="20" spans="2:17" ht="20.100000000000001" customHeight="1" thickBot="1">
      <c r="B20" s="745"/>
      <c r="C20" s="23" t="s">
        <v>340</v>
      </c>
      <c r="D20" s="251" t="s">
        <v>341</v>
      </c>
      <c r="E20" s="251">
        <v>3</v>
      </c>
      <c r="F20" s="28" t="s">
        <v>338</v>
      </c>
      <c r="G20" s="251">
        <f>2875000*4</f>
        <v>11500000</v>
      </c>
      <c r="H20" s="252">
        <v>0</v>
      </c>
      <c r="I20" s="251">
        <f t="shared" si="18"/>
        <v>11500000</v>
      </c>
      <c r="J20" s="251">
        <v>4000</v>
      </c>
      <c r="K20" s="533">
        <f t="shared" si="4"/>
        <v>2.5000000000000001E-3</v>
      </c>
      <c r="L20" s="251">
        <f t="shared" si="13"/>
        <v>28750</v>
      </c>
      <c r="M20" s="35">
        <v>0</v>
      </c>
      <c r="N20" s="22">
        <f t="shared" si="14"/>
        <v>0</v>
      </c>
      <c r="O20" s="438">
        <v>5</v>
      </c>
      <c r="P20" s="120">
        <f t="shared" si="12"/>
        <v>5750</v>
      </c>
      <c r="Q20" s="537"/>
    </row>
    <row r="21" spans="2:17" ht="20.100000000000001" customHeight="1" thickBot="1">
      <c r="B21" s="745"/>
      <c r="C21" s="521" t="s">
        <v>454</v>
      </c>
      <c r="D21" s="521" t="s">
        <v>455</v>
      </c>
      <c r="E21" s="521">
        <v>5</v>
      </c>
      <c r="F21" s="522" t="s">
        <v>453</v>
      </c>
      <c r="G21" s="521">
        <f>920000*5</f>
        <v>4600000</v>
      </c>
      <c r="H21" s="523">
        <v>0</v>
      </c>
      <c r="I21" s="521">
        <f t="shared" ref="I21" si="21">G21*(1-H21)</f>
        <v>4600000</v>
      </c>
      <c r="J21" s="251">
        <v>4000</v>
      </c>
      <c r="K21" s="533">
        <f t="shared" si="4"/>
        <v>2.5000000000000001E-3</v>
      </c>
      <c r="L21" s="521">
        <f t="shared" si="13"/>
        <v>11500</v>
      </c>
      <c r="M21" s="35">
        <v>0</v>
      </c>
      <c r="N21" s="36">
        <f t="shared" si="14"/>
        <v>0</v>
      </c>
      <c r="O21" s="438">
        <v>4</v>
      </c>
      <c r="P21" s="120">
        <f t="shared" ref="P21" si="22">IF(O21="","",(L21-N21)/O21)</f>
        <v>2875</v>
      </c>
      <c r="Q21" s="537"/>
    </row>
    <row r="22" spans="2:17" ht="20.100000000000001" customHeight="1" thickBot="1">
      <c r="B22" s="745"/>
      <c r="C22" s="251" t="s">
        <v>333</v>
      </c>
      <c r="D22" s="251"/>
      <c r="E22" s="251">
        <v>2</v>
      </c>
      <c r="F22" s="28" t="s">
        <v>421</v>
      </c>
      <c r="G22" s="251">
        <f>800000*2</f>
        <v>1600000</v>
      </c>
      <c r="H22" s="252">
        <v>0</v>
      </c>
      <c r="I22" s="251">
        <f t="shared" si="18"/>
        <v>1600000</v>
      </c>
      <c r="J22" s="251">
        <v>4000</v>
      </c>
      <c r="K22" s="533">
        <f t="shared" si="4"/>
        <v>2.5000000000000001E-3</v>
      </c>
      <c r="L22" s="251">
        <f t="shared" si="13"/>
        <v>4000</v>
      </c>
      <c r="M22" s="35">
        <v>0</v>
      </c>
      <c r="N22" s="22">
        <f t="shared" si="14"/>
        <v>0</v>
      </c>
      <c r="O22" s="438">
        <v>7</v>
      </c>
      <c r="P22" s="120">
        <f t="shared" si="12"/>
        <v>571.42857142857144</v>
      </c>
      <c r="Q22" s="537"/>
    </row>
    <row r="23" spans="2:17" ht="20.100000000000001" customHeight="1" thickBot="1">
      <c r="B23" s="745"/>
      <c r="C23" s="521"/>
      <c r="D23" s="521"/>
      <c r="E23" s="521"/>
      <c r="F23" s="522"/>
      <c r="G23" s="521"/>
      <c r="H23" s="523"/>
      <c r="I23" s="521"/>
      <c r="J23" s="521"/>
      <c r="K23" s="524"/>
      <c r="L23" s="521"/>
      <c r="M23" s="35"/>
      <c r="N23" s="36"/>
      <c r="O23" s="525"/>
      <c r="P23" s="545"/>
      <c r="Q23" s="540"/>
    </row>
    <row r="24" spans="2:17" ht="20.100000000000001" customHeight="1" thickBot="1">
      <c r="B24" s="746"/>
      <c r="C24" s="255" t="s">
        <v>41</v>
      </c>
      <c r="D24" s="255"/>
      <c r="E24" s="255"/>
      <c r="F24" s="256"/>
      <c r="G24" s="255">
        <f>SUM(G12:G23)</f>
        <v>135623200</v>
      </c>
      <c r="H24" s="255"/>
      <c r="I24" s="255">
        <f>SUM(I12:I23)</f>
        <v>135623200</v>
      </c>
      <c r="J24" s="255"/>
      <c r="K24" s="257"/>
      <c r="L24" s="255">
        <f>SUM(L12:L23)</f>
        <v>339058</v>
      </c>
      <c r="M24" s="32"/>
      <c r="N24" s="32"/>
      <c r="O24" s="439"/>
      <c r="P24" s="544">
        <f>SUM(P12:P23)</f>
        <v>53209.000000000007</v>
      </c>
      <c r="Q24" s="538"/>
    </row>
    <row r="25" spans="2:17" ht="20.100000000000001" customHeight="1" thickBot="1">
      <c r="B25" s="744" t="s">
        <v>101</v>
      </c>
      <c r="C25" s="251" t="str">
        <f>+'１　対象経営の概要，２　前提条件'!C13:E13</f>
        <v>あけみず</v>
      </c>
      <c r="D25" s="251" t="s">
        <v>335</v>
      </c>
      <c r="E25" s="251">
        <v>10</v>
      </c>
      <c r="F25" s="251" t="s">
        <v>583</v>
      </c>
      <c r="G25" s="251">
        <v>200000</v>
      </c>
      <c r="H25" s="258"/>
      <c r="I25" s="251">
        <f t="shared" si="18"/>
        <v>200000</v>
      </c>
      <c r="J25" s="251"/>
      <c r="K25" s="253">
        <v>1</v>
      </c>
      <c r="L25" s="251">
        <f>I25*K25</f>
        <v>200000</v>
      </c>
      <c r="M25" s="35">
        <v>0.05</v>
      </c>
      <c r="N25" s="22">
        <f>L25*M25</f>
        <v>10000</v>
      </c>
      <c r="O25" s="438">
        <v>26</v>
      </c>
      <c r="P25" s="120">
        <f>IF(O25="","",(L25-N25)/O25)</f>
        <v>7307.6923076923076</v>
      </c>
      <c r="Q25" s="537">
        <f>+I25/E25/10</f>
        <v>2000</v>
      </c>
    </row>
    <row r="26" spans="2:17" ht="20.100000000000001" customHeight="1" thickBot="1">
      <c r="B26" s="745"/>
      <c r="C26" s="251" t="str">
        <f>+'１　対象経営の概要，２　前提条件'!C14:E14</f>
        <v>幸水</v>
      </c>
      <c r="D26" s="251" t="s">
        <v>335</v>
      </c>
      <c r="E26" s="251">
        <v>10</v>
      </c>
      <c r="F26" s="251" t="s">
        <v>584</v>
      </c>
      <c r="G26" s="251">
        <v>300000</v>
      </c>
      <c r="H26" s="258"/>
      <c r="I26" s="251">
        <f t="shared" si="18"/>
        <v>300000</v>
      </c>
      <c r="J26" s="251"/>
      <c r="K26" s="253">
        <v>1</v>
      </c>
      <c r="L26" s="251">
        <f>I26*K26</f>
        <v>300000</v>
      </c>
      <c r="M26" s="35">
        <v>0.05</v>
      </c>
      <c r="N26" s="22">
        <f>L26*M26</f>
        <v>15000</v>
      </c>
      <c r="O26" s="438">
        <v>26</v>
      </c>
      <c r="P26" s="120">
        <f>IF(O26="","",(L26-N26)/O26)</f>
        <v>10961.538461538461</v>
      </c>
      <c r="Q26" s="537">
        <f t="shared" ref="Q26:Q28" si="23">+G26/E26/10</f>
        <v>3000</v>
      </c>
    </row>
    <row r="27" spans="2:17" ht="20.100000000000001" customHeight="1" thickBot="1">
      <c r="B27" s="745"/>
      <c r="C27" s="251" t="str">
        <f>+'１　対象経営の概要，２　前提条件'!C15:E15</f>
        <v>豊水</v>
      </c>
      <c r="D27" s="22" t="s">
        <v>335</v>
      </c>
      <c r="E27" s="251">
        <v>10</v>
      </c>
      <c r="F27" s="22" t="s">
        <v>584</v>
      </c>
      <c r="G27" s="22">
        <v>200000</v>
      </c>
      <c r="H27" s="37"/>
      <c r="I27" s="22">
        <f t="shared" si="18"/>
        <v>200000</v>
      </c>
      <c r="J27" s="22"/>
      <c r="K27" s="253">
        <v>1</v>
      </c>
      <c r="L27" s="22">
        <f>I27*K27</f>
        <v>200000</v>
      </c>
      <c r="M27" s="35">
        <v>0.05</v>
      </c>
      <c r="N27" s="22">
        <f>L27*M27</f>
        <v>10000</v>
      </c>
      <c r="O27" s="438">
        <v>26</v>
      </c>
      <c r="P27" s="120">
        <f>IF(O27="","",(L27-N27)/O27)</f>
        <v>7307.6923076923076</v>
      </c>
      <c r="Q27" s="537">
        <f t="shared" si="23"/>
        <v>2000</v>
      </c>
    </row>
    <row r="28" spans="2:17" ht="20.100000000000001" customHeight="1" thickBot="1">
      <c r="B28" s="745"/>
      <c r="C28" s="251" t="str">
        <f>+'１　対象経営の概要，２　前提条件'!C16:E16</f>
        <v>あきづき，甘太</v>
      </c>
      <c r="D28" s="22" t="s">
        <v>335</v>
      </c>
      <c r="E28" s="251">
        <v>10</v>
      </c>
      <c r="F28" s="22" t="s">
        <v>584</v>
      </c>
      <c r="G28" s="22">
        <v>160000</v>
      </c>
      <c r="H28" s="37"/>
      <c r="I28" s="22">
        <f t="shared" si="18"/>
        <v>160000</v>
      </c>
      <c r="J28" s="22"/>
      <c r="K28" s="253">
        <v>1</v>
      </c>
      <c r="L28" s="22">
        <f>I28*K28</f>
        <v>160000</v>
      </c>
      <c r="M28" s="35">
        <v>0.05</v>
      </c>
      <c r="N28" s="22">
        <f>L28*M28</f>
        <v>8000</v>
      </c>
      <c r="O28" s="438">
        <v>26</v>
      </c>
      <c r="P28" s="120">
        <f>IF(O28="","",(L28-N28)/O28)</f>
        <v>5846.1538461538457</v>
      </c>
      <c r="Q28" s="537">
        <f t="shared" si="23"/>
        <v>1600</v>
      </c>
    </row>
    <row r="29" spans="2:17" ht="20.100000000000001" customHeight="1" thickBot="1">
      <c r="B29" s="746"/>
      <c r="C29" s="38" t="s">
        <v>41</v>
      </c>
      <c r="D29" s="32"/>
      <c r="E29" s="32"/>
      <c r="F29" s="33"/>
      <c r="G29" s="32"/>
      <c r="H29" s="32"/>
      <c r="I29" s="32">
        <f>SUM(I25:I28)</f>
        <v>860000</v>
      </c>
      <c r="J29" s="32"/>
      <c r="K29" s="34"/>
      <c r="L29" s="32">
        <f>SUM(L25:L28)</f>
        <v>860000</v>
      </c>
      <c r="M29" s="32"/>
      <c r="N29" s="32"/>
      <c r="O29" s="439"/>
      <c r="P29" s="544">
        <f>SUM(P25:P28)</f>
        <v>31423.076923076922</v>
      </c>
      <c r="Q29" s="538"/>
    </row>
    <row r="30" spans="2:17" ht="20.100000000000001" customHeight="1" thickBot="1">
      <c r="B30" s="39"/>
      <c r="C30" s="40" t="s">
        <v>200</v>
      </c>
      <c r="D30" s="41"/>
      <c r="E30" s="41"/>
      <c r="F30" s="42"/>
      <c r="G30" s="41">
        <f>G11+G24+G29</f>
        <v>775843200</v>
      </c>
      <c r="H30" s="41"/>
      <c r="I30" s="41">
        <f>I11+I24+I29</f>
        <v>495203200</v>
      </c>
      <c r="J30" s="41"/>
      <c r="K30" s="43"/>
      <c r="L30" s="41">
        <f>L11+L24+L29</f>
        <v>2095858</v>
      </c>
      <c r="M30" s="41"/>
      <c r="N30" s="41"/>
      <c r="O30" s="41"/>
      <c r="P30" s="546">
        <f>P11+P24+P29</f>
        <v>167411.12454212457</v>
      </c>
      <c r="Q30" s="539"/>
    </row>
    <row r="31" spans="2:17" ht="11.25" customHeight="1"/>
    <row r="32" spans="2:17">
      <c r="C32" s="527" t="s">
        <v>473</v>
      </c>
      <c r="D32" s="527" t="s">
        <v>474</v>
      </c>
      <c r="E32" s="527"/>
      <c r="F32" s="527"/>
      <c r="G32" s="527">
        <f>+G30/2</f>
        <v>387921600</v>
      </c>
    </row>
    <row r="33" spans="3:7">
      <c r="C33" s="527" t="s">
        <v>472</v>
      </c>
      <c r="D33" s="527" t="s">
        <v>475</v>
      </c>
      <c r="E33" s="527"/>
      <c r="F33" s="527"/>
      <c r="G33" s="527">
        <f>+G32*0.02</f>
        <v>7758432</v>
      </c>
    </row>
  </sheetData>
  <mergeCells count="9">
    <mergeCell ref="J3:J4"/>
    <mergeCell ref="B25:B29"/>
    <mergeCell ref="B12:B24"/>
    <mergeCell ref="B5:B11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14</vt:i4>
      </vt:variant>
    </vt:vector>
  </HeadingPairs>
  <TitlesOfParts>
    <vt:vector size="35" baseType="lpstr">
      <vt:lpstr>１　対象経営の概要，２　前提条件</vt:lpstr>
      <vt:lpstr>３　日本なし標準技術</vt:lpstr>
      <vt:lpstr>4.経営収支(法人様式）</vt:lpstr>
      <vt:lpstr>５　作業時間</vt:lpstr>
      <vt:lpstr>５-１あけみず時間</vt:lpstr>
      <vt:lpstr>５-２幸水時間</vt:lpstr>
      <vt:lpstr>５-３豊水時間</vt:lpstr>
      <vt:lpstr>５-４あきづき時間</vt:lpstr>
      <vt:lpstr>６　固定資本装備と減価償却費</vt:lpstr>
      <vt:lpstr>７-１　あけみず収支</vt:lpstr>
      <vt:lpstr>７-２幸水収支</vt:lpstr>
      <vt:lpstr>７-３豊水収支</vt:lpstr>
      <vt:lpstr>７-４あきづき収支</vt:lpstr>
      <vt:lpstr>８　算出基礎</vt:lpstr>
      <vt:lpstr>９-1　あけみず単価</vt:lpstr>
      <vt:lpstr>９-2幸水単価</vt:lpstr>
      <vt:lpstr>９-3豊水単価</vt:lpstr>
      <vt:lpstr>９-4あきづき単価</vt:lpstr>
      <vt:lpstr>単価基礎</vt:lpstr>
      <vt:lpstr>肥料算出基礎</vt:lpstr>
      <vt:lpstr>農薬算出基礎</vt:lpstr>
      <vt:lpstr>'4.経営収支(法人様式）'!Print_Area</vt:lpstr>
      <vt:lpstr>'５　作業時間'!Print_Area</vt:lpstr>
      <vt:lpstr>'５-１あけみず時間'!Print_Area</vt:lpstr>
      <vt:lpstr>'５-２幸水時間'!Print_Area</vt:lpstr>
      <vt:lpstr>'５-３豊水時間'!Print_Area</vt:lpstr>
      <vt:lpstr>'５-４あきづき時間'!Print_Area</vt:lpstr>
      <vt:lpstr>'６　固定資本装備と減価償却費'!Print_Area</vt:lpstr>
      <vt:lpstr>'７-１　あけみず収支'!Print_Area</vt:lpstr>
      <vt:lpstr>'７-２幸水収支'!Print_Area</vt:lpstr>
      <vt:lpstr>'７-３豊水収支'!Print_Area</vt:lpstr>
      <vt:lpstr>'７-４あきづき収支'!Print_Area</vt:lpstr>
      <vt:lpstr>'８　算出基礎'!Print_Area</vt:lpstr>
      <vt:lpstr>単価基礎!Print_Area</vt:lpstr>
      <vt:lpstr>農薬算出基礎!Print_Area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2015-03-03T08:25:10Z</cp:lastPrinted>
  <dcterms:created xsi:type="dcterms:W3CDTF">2005-02-26T02:20:11Z</dcterms:created>
  <dcterms:modified xsi:type="dcterms:W3CDTF">2015-03-25T05:55:31Z</dcterms:modified>
</cp:coreProperties>
</file>