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35" yWindow="-90" windowWidth="15435" windowHeight="9420" tabRatio="891"/>
  </bookViews>
  <sheets>
    <sheet name="１　対象経営の概要，２　前提条件" sheetId="19" r:id="rId1"/>
    <sheet name="３－１－１　水稲（食用）標準技術" sheetId="24" r:id="rId2"/>
    <sheet name="３－１－２　水稲（加工用）標準技術" sheetId="48" r:id="rId3"/>
    <sheet name="３－２　ハウスアスパラガス標準技術" sheetId="25" r:id="rId4"/>
    <sheet name="３－３　露地アスパラガス標準技術" sheetId="26" r:id="rId5"/>
    <sheet name="４　経営収支" sheetId="22" r:id="rId6"/>
    <sheet name="５－１　水稲作業時間" sheetId="27" r:id="rId7"/>
    <sheet name="５－２　ハウスアスパラガス作業時間" sheetId="28" r:id="rId8"/>
    <sheet name="５－３　露地アスパラガス作業時間" sheetId="29" r:id="rId9"/>
    <sheet name="６　固定資本装備と減価償却費" sheetId="23" r:id="rId10"/>
    <sheet name="７－１－１　水稲（食用倒伏しやすい品種）部門収支" sheetId="35" r:id="rId11"/>
    <sheet name="７－１－２　水稲（食用倒伏しにくい品種）部門収支" sheetId="46" r:id="rId12"/>
    <sheet name="７－１－３　水稲（加工用米）部門収支" sheetId="47" r:id="rId13"/>
    <sheet name="７－２　ハウスアスパラガス部門収支" sheetId="37" r:id="rId14"/>
    <sheet name="７－３　露地アスパラガス部門収支" sheetId="39" r:id="rId15"/>
    <sheet name="８－１－１　水稲（食用倒伏しやすい品種）算出基礎" sheetId="36" r:id="rId16"/>
    <sheet name="８－１－２　水稲（食用倒伏しにくい）算出基礎" sheetId="44" r:id="rId17"/>
    <sheet name="８－１－３　水稲（加工用米）算出基礎" sheetId="45" r:id="rId18"/>
    <sheet name="８－２　ハウスアスパラガス算出基礎" sheetId="38" r:id="rId19"/>
    <sheet name="８－３　露地アスパラガス算出基礎" sheetId="40" r:id="rId20"/>
    <sheet name="９　アスパラガス単価算出基礎" sheetId="41" r:id="rId21"/>
  </sheets>
  <definedNames>
    <definedName name="_a1" hidden="1">#REF!</definedName>
    <definedName name="_a2" hidden="1">#REF!</definedName>
    <definedName name="_a3" hidden="1">#REF!</definedName>
    <definedName name="_a4" hidden="1">#REF!</definedName>
    <definedName name="_a5" hidden="1">#REF!</definedName>
    <definedName name="_a6" hidden="1">#REF!</definedName>
    <definedName name="_a7" hidden="1">#REF!</definedName>
    <definedName name="aaa" hidden="1">#REF!</definedName>
    <definedName name="bbb" hidden="1">#REF!</definedName>
    <definedName name="ccc" hidden="1">#REF!</definedName>
    <definedName name="ddd" hidden="1">#REF!</definedName>
    <definedName name="eee" hidden="1">#REF!</definedName>
    <definedName name="fff" hidden="1">#REF!</definedName>
    <definedName name="ggg" hidden="1">#REF!</definedName>
    <definedName name="hhh" hidden="1">#REF!</definedName>
    <definedName name="_xlnm.Print_Area" localSheetId="3">'３－２　ハウスアスパラガス標準技術'!$A$1:$L$11</definedName>
    <definedName name="_xlnm.Print_Area" localSheetId="4">'３－３　露地アスパラガス標準技術'!$A$1:$K$11</definedName>
    <definedName name="_xlnm.Print_Area" localSheetId="6">'５－１　水稲作業時間'!$A$1:$AM$34</definedName>
    <definedName name="_xlnm.Print_Area" localSheetId="7">'５－２　ハウスアスパラガス作業時間'!$A$1:$AM$34</definedName>
    <definedName name="_xlnm.Print_Area" localSheetId="8">'５－３　露地アスパラガス作業時間'!$A$1:$AM$34</definedName>
    <definedName name="_xlnm.Print_Area" localSheetId="9">'６　固定資本装備と減価償却費'!$1:$63</definedName>
    <definedName name="_xlnm.Print_Area" localSheetId="10">'７－１－１　水稲（食用倒伏しやすい品種）部門収支'!$A$1:$S$45</definedName>
    <definedName name="_xlnm.Print_Area" localSheetId="13">'７－２　ハウスアスパラガス部門収支'!$A$1:$S$45</definedName>
    <definedName name="_xlnm.Print_Area" localSheetId="14">'７－３　露地アスパラガス部門収支'!$A$1:$S$45</definedName>
    <definedName name="simizu" hidden="1">#REF!</definedName>
  </definedNames>
  <calcPr calcId="145621"/>
</workbook>
</file>

<file path=xl/calcChain.xml><?xml version="1.0" encoding="utf-8"?>
<calcChain xmlns="http://schemas.openxmlformats.org/spreadsheetml/2006/main">
  <c r="K22" i="23" l="1"/>
  <c r="K21" i="23"/>
  <c r="F29" i="39" l="1"/>
  <c r="F29" i="37"/>
  <c r="R5" i="37" l="1"/>
  <c r="K6" i="23" l="1"/>
  <c r="Q5" i="37" l="1"/>
  <c r="M11" i="37"/>
  <c r="M10" i="37"/>
  <c r="M9" i="37"/>
  <c r="M8" i="37"/>
  <c r="M7" i="37"/>
  <c r="M6" i="37"/>
  <c r="M5" i="37"/>
  <c r="M10" i="39"/>
  <c r="M11" i="39"/>
  <c r="M9" i="39"/>
  <c r="M8" i="39"/>
  <c r="M7" i="39"/>
  <c r="M6" i="39"/>
  <c r="M5" i="39"/>
  <c r="P15" i="39" l="1"/>
  <c r="P15" i="37"/>
  <c r="G61" i="23" l="1"/>
  <c r="P60" i="23"/>
  <c r="L60" i="23"/>
  <c r="N60" i="23" s="1"/>
  <c r="I60" i="23"/>
  <c r="P59" i="23"/>
  <c r="I59" i="23"/>
  <c r="L59" i="23" s="1"/>
  <c r="N59" i="23" s="1"/>
  <c r="P58" i="23"/>
  <c r="I58" i="23"/>
  <c r="L58" i="23" s="1"/>
  <c r="N58" i="23" s="1"/>
  <c r="K57" i="23"/>
  <c r="L57" i="23" s="1"/>
  <c r="G57" i="23"/>
  <c r="I57" i="23" s="1"/>
  <c r="P55" i="23"/>
  <c r="P54" i="23"/>
  <c r="P53" i="23"/>
  <c r="I53" i="23"/>
  <c r="L55" i="23" s="1"/>
  <c r="N55" i="23" s="1"/>
  <c r="P52" i="23"/>
  <c r="P51" i="23"/>
  <c r="I51" i="23"/>
  <c r="L51" i="23" s="1"/>
  <c r="N51" i="23" s="1"/>
  <c r="P50" i="23"/>
  <c r="P49" i="23"/>
  <c r="N49" i="23"/>
  <c r="I49" i="23"/>
  <c r="L49" i="23" s="1"/>
  <c r="P48" i="23"/>
  <c r="P47" i="23"/>
  <c r="I47" i="23"/>
  <c r="L48" i="23" s="1"/>
  <c r="N48" i="23" s="1"/>
  <c r="K46" i="23"/>
  <c r="L45" i="23"/>
  <c r="K45" i="23"/>
  <c r="I45" i="23"/>
  <c r="L46" i="23" s="1"/>
  <c r="N46" i="23" s="1"/>
  <c r="K44" i="23"/>
  <c r="K43" i="23"/>
  <c r="I43" i="23"/>
  <c r="K42" i="23"/>
  <c r="K41" i="23"/>
  <c r="I41" i="23"/>
  <c r="G41" i="23"/>
  <c r="K40" i="23"/>
  <c r="K39" i="23"/>
  <c r="G39" i="23"/>
  <c r="I39" i="23" s="1"/>
  <c r="L40" i="23" s="1"/>
  <c r="N40" i="23" s="1"/>
  <c r="K38" i="23"/>
  <c r="K37" i="23"/>
  <c r="I37" i="23"/>
  <c r="G37" i="23"/>
  <c r="K36" i="23"/>
  <c r="K35" i="23"/>
  <c r="G35" i="23"/>
  <c r="I35" i="23" s="1"/>
  <c r="L36" i="23" s="1"/>
  <c r="K34" i="23"/>
  <c r="K33" i="23"/>
  <c r="K32" i="23"/>
  <c r="I32" i="23"/>
  <c r="K31" i="23"/>
  <c r="I31" i="23"/>
  <c r="K30" i="23"/>
  <c r="I30" i="23"/>
  <c r="L30" i="23" s="1"/>
  <c r="K29" i="23"/>
  <c r="G29" i="23"/>
  <c r="I29" i="23" s="1"/>
  <c r="L29" i="23" s="1"/>
  <c r="K28" i="23"/>
  <c r="G28" i="23"/>
  <c r="I28" i="23" s="1"/>
  <c r="L28" i="23" s="1"/>
  <c r="K27" i="23"/>
  <c r="I27" i="23"/>
  <c r="L27" i="23" s="1"/>
  <c r="G27" i="23"/>
  <c r="K26" i="23"/>
  <c r="G26" i="23"/>
  <c r="I26" i="23" s="1"/>
  <c r="K25" i="23"/>
  <c r="G25" i="23"/>
  <c r="I25" i="23" s="1"/>
  <c r="L25" i="23" s="1"/>
  <c r="K24" i="23"/>
  <c r="G24" i="23"/>
  <c r="I24" i="23" s="1"/>
  <c r="L24" i="23" s="1"/>
  <c r="K23" i="23"/>
  <c r="I23" i="23"/>
  <c r="L23" i="23" s="1"/>
  <c r="G23" i="23"/>
  <c r="G22" i="23"/>
  <c r="I22" i="23" s="1"/>
  <c r="L22" i="23" s="1"/>
  <c r="G21" i="23"/>
  <c r="I21" i="23" s="1"/>
  <c r="L21" i="23" s="1"/>
  <c r="K20" i="23"/>
  <c r="G20" i="23"/>
  <c r="I20" i="23" s="1"/>
  <c r="L20" i="23" s="1"/>
  <c r="K19" i="23"/>
  <c r="I19" i="23"/>
  <c r="L19" i="23" s="1"/>
  <c r="G19" i="23"/>
  <c r="K18" i="23"/>
  <c r="G18" i="23"/>
  <c r="I18" i="23" s="1"/>
  <c r="P16" i="23"/>
  <c r="P15" i="23"/>
  <c r="P14" i="23"/>
  <c r="K11" i="23"/>
  <c r="G11" i="23"/>
  <c r="I11" i="23" s="1"/>
  <c r="L11" i="23" s="1"/>
  <c r="K10" i="23"/>
  <c r="G10" i="23"/>
  <c r="I10" i="23" s="1"/>
  <c r="K9" i="23"/>
  <c r="K8" i="23"/>
  <c r="K7" i="23"/>
  <c r="G7" i="23"/>
  <c r="I6" i="23"/>
  <c r="L6" i="23" s="1"/>
  <c r="K5" i="23"/>
  <c r="L5" i="23" s="1"/>
  <c r="K4" i="23"/>
  <c r="I4" i="23"/>
  <c r="L4" i="23" s="1"/>
  <c r="L35" i="23" l="1"/>
  <c r="N35" i="23" s="1"/>
  <c r="I56" i="23"/>
  <c r="L31" i="23"/>
  <c r="N31" i="23" s="1"/>
  <c r="P31" i="23" s="1"/>
  <c r="L39" i="23"/>
  <c r="L26" i="23"/>
  <c r="L47" i="23"/>
  <c r="N47" i="23" s="1"/>
  <c r="L53" i="23"/>
  <c r="N53" i="23" s="1"/>
  <c r="I61" i="23"/>
  <c r="F14" i="46"/>
  <c r="N22" i="23"/>
  <c r="P22" i="23" s="1"/>
  <c r="N24" i="23"/>
  <c r="P24" i="23" s="1"/>
  <c r="P27" i="23"/>
  <c r="N36" i="23"/>
  <c r="P36" i="23" s="1"/>
  <c r="N5" i="23"/>
  <c r="P5" i="23" s="1"/>
  <c r="N26" i="23"/>
  <c r="P26" i="23" s="1"/>
  <c r="N6" i="23"/>
  <c r="P6" i="23" s="1"/>
  <c r="N20" i="23"/>
  <c r="P20" i="23" s="1"/>
  <c r="N28" i="23"/>
  <c r="P28" i="23" s="1"/>
  <c r="N4" i="23"/>
  <c r="G17" i="23"/>
  <c r="I7" i="23"/>
  <c r="I17" i="23"/>
  <c r="I62" i="23" s="1"/>
  <c r="N11" i="23"/>
  <c r="P11" i="23" s="1"/>
  <c r="L18" i="23"/>
  <c r="F14" i="47" s="1"/>
  <c r="N19" i="23"/>
  <c r="P19" i="23" s="1"/>
  <c r="N21" i="23"/>
  <c r="P21" i="23" s="1"/>
  <c r="N23" i="23"/>
  <c r="P23" i="23" s="1"/>
  <c r="N25" i="23"/>
  <c r="P25" i="23" s="1"/>
  <c r="N27" i="23"/>
  <c r="N29" i="23"/>
  <c r="P29" i="23" s="1"/>
  <c r="L38" i="23"/>
  <c r="L37" i="23"/>
  <c r="N39" i="23"/>
  <c r="P39" i="23" s="1"/>
  <c r="N45" i="23"/>
  <c r="P45" i="23" s="1"/>
  <c r="L52" i="23"/>
  <c r="N52" i="23" s="1"/>
  <c r="N30" i="23"/>
  <c r="P30" i="23" s="1"/>
  <c r="L34" i="23"/>
  <c r="F14" i="39" s="1"/>
  <c r="L33" i="23"/>
  <c r="L32" i="23"/>
  <c r="L42" i="23"/>
  <c r="L41" i="23"/>
  <c r="L54" i="23"/>
  <c r="N54" i="23" s="1"/>
  <c r="P4" i="23"/>
  <c r="L10" i="23"/>
  <c r="P35" i="23"/>
  <c r="P40" i="23"/>
  <c r="L44" i="23"/>
  <c r="L43" i="23"/>
  <c r="P46" i="23"/>
  <c r="L61" i="23"/>
  <c r="N57" i="23"/>
  <c r="P57" i="23" s="1"/>
  <c r="L50" i="23"/>
  <c r="N50" i="23" s="1"/>
  <c r="G56" i="23"/>
  <c r="P61" i="23" l="1"/>
  <c r="F17" i="37"/>
  <c r="F17" i="39"/>
  <c r="F14" i="35"/>
  <c r="F14" i="37"/>
  <c r="N33" i="23"/>
  <c r="P33" i="23" s="1"/>
  <c r="N41" i="23"/>
  <c r="P41" i="23"/>
  <c r="N34" i="23"/>
  <c r="P34" i="23" s="1"/>
  <c r="L7" i="23"/>
  <c r="L8" i="23"/>
  <c r="F13" i="37" s="1"/>
  <c r="L9" i="23"/>
  <c r="F13" i="39" s="1"/>
  <c r="N43" i="23"/>
  <c r="P43" i="23" s="1"/>
  <c r="N10" i="23"/>
  <c r="P10" i="23"/>
  <c r="N42" i="23"/>
  <c r="P42" i="23" s="1"/>
  <c r="N37" i="23"/>
  <c r="P37" i="23"/>
  <c r="G62" i="23"/>
  <c r="N44" i="23"/>
  <c r="P44" i="23" s="1"/>
  <c r="N32" i="23"/>
  <c r="P32" i="23" s="1"/>
  <c r="N38" i="23"/>
  <c r="P38" i="23"/>
  <c r="N18" i="23"/>
  <c r="P18" i="23" s="1"/>
  <c r="L56" i="23"/>
  <c r="F16" i="35" l="1"/>
  <c r="F16" i="47"/>
  <c r="F16" i="46"/>
  <c r="F13" i="47"/>
  <c r="F13" i="35"/>
  <c r="F13" i="46"/>
  <c r="F16" i="37"/>
  <c r="F16" i="39"/>
  <c r="N9" i="23"/>
  <c r="P9" i="23" s="1"/>
  <c r="F15" i="39" s="1"/>
  <c r="N8" i="23"/>
  <c r="P8" i="23" s="1"/>
  <c r="F15" i="37" s="1"/>
  <c r="N7" i="23"/>
  <c r="P7" i="23" s="1"/>
  <c r="L17" i="23"/>
  <c r="L62" i="23" s="1"/>
  <c r="P56" i="23"/>
  <c r="F15" i="46" l="1"/>
  <c r="F15" i="47"/>
  <c r="F15" i="35"/>
  <c r="P17" i="23"/>
  <c r="P62" i="23" s="1"/>
  <c r="N34" i="38" l="1"/>
  <c r="V27" i="38"/>
  <c r="V26" i="38"/>
  <c r="V25" i="38"/>
  <c r="N44" i="45" l="1"/>
  <c r="N44" i="36"/>
  <c r="N42" i="38"/>
  <c r="N43" i="40"/>
  <c r="N35" i="40"/>
  <c r="J35" i="40"/>
  <c r="N44" i="44"/>
  <c r="N30" i="40" l="1"/>
  <c r="N28" i="40"/>
  <c r="V28" i="40" l="1"/>
  <c r="V26" i="40"/>
  <c r="V27" i="40"/>
  <c r="N20" i="40"/>
  <c r="N11" i="40"/>
  <c r="N35" i="38" l="1"/>
  <c r="N36" i="38" l="1"/>
  <c r="N27" i="38"/>
  <c r="N19" i="38"/>
  <c r="N15" i="38"/>
  <c r="N13" i="38"/>
  <c r="N12" i="38"/>
  <c r="N11" i="38"/>
  <c r="N10" i="38"/>
  <c r="V23" i="38" l="1"/>
  <c r="N10" i="44" l="1"/>
  <c r="G20" i="39"/>
  <c r="N7" i="19" l="1"/>
  <c r="F20" i="37" l="1"/>
  <c r="G20" i="37"/>
  <c r="J22" i="22" l="1"/>
  <c r="K7" i="26"/>
  <c r="J7" i="26"/>
  <c r="I7" i="26"/>
  <c r="D7" i="26"/>
  <c r="G48" i="22" l="1"/>
  <c r="G47" i="22"/>
  <c r="G46" i="22"/>
  <c r="G45" i="22"/>
  <c r="G44" i="22"/>
  <c r="G39" i="22"/>
  <c r="G31" i="22"/>
  <c r="G26" i="22"/>
  <c r="G25" i="22"/>
  <c r="G24" i="22"/>
  <c r="G23" i="22"/>
  <c r="G22" i="22"/>
  <c r="G21" i="22"/>
  <c r="G20" i="22"/>
  <c r="G19" i="22"/>
  <c r="G14" i="22"/>
  <c r="G6" i="22"/>
  <c r="H14" i="22"/>
  <c r="F20" i="35"/>
  <c r="F19" i="35"/>
  <c r="F11" i="35"/>
  <c r="F10" i="35"/>
  <c r="G12" i="22" s="1"/>
  <c r="P36" i="35"/>
  <c r="P35" i="35"/>
  <c r="P34" i="35"/>
  <c r="P33" i="35"/>
  <c r="P31" i="35"/>
  <c r="P27" i="35"/>
  <c r="P26" i="35"/>
  <c r="P25" i="35"/>
  <c r="P24" i="35"/>
  <c r="P21" i="35"/>
  <c r="P18" i="35"/>
  <c r="P17" i="35"/>
  <c r="F20" i="46"/>
  <c r="F19" i="46"/>
  <c r="F10" i="46"/>
  <c r="P36" i="46"/>
  <c r="P24" i="46"/>
  <c r="N13" i="46"/>
  <c r="L5" i="46"/>
  <c r="F24" i="47"/>
  <c r="F23" i="47"/>
  <c r="F22" i="47"/>
  <c r="F21" i="47"/>
  <c r="F20" i="47"/>
  <c r="F19" i="47"/>
  <c r="F10" i="47"/>
  <c r="P36" i="47"/>
  <c r="P35" i="47"/>
  <c r="P34" i="47"/>
  <c r="P33" i="47"/>
  <c r="P31" i="47"/>
  <c r="L5" i="47"/>
  <c r="H4" i="22"/>
  <c r="H45" i="22" s="1"/>
  <c r="G4" i="22"/>
  <c r="AP34" i="27"/>
  <c r="AO34" i="27"/>
  <c r="AQ33" i="27"/>
  <c r="AL33" i="27"/>
  <c r="AK33" i="27"/>
  <c r="AJ33" i="27"/>
  <c r="AK34" i="27" s="1"/>
  <c r="AI33" i="27"/>
  <c r="AH33" i="27"/>
  <c r="AH34" i="27" s="1"/>
  <c r="AG33" i="27"/>
  <c r="AF33" i="27"/>
  <c r="AE33" i="27"/>
  <c r="AD33" i="27"/>
  <c r="AE34" i="27" s="1"/>
  <c r="AC33" i="27"/>
  <c r="AB33" i="27"/>
  <c r="AA33" i="27"/>
  <c r="AB34" i="27" s="1"/>
  <c r="Z33" i="27"/>
  <c r="Y33" i="27"/>
  <c r="X33" i="27"/>
  <c r="Y34" i="27" s="1"/>
  <c r="W33" i="27"/>
  <c r="V33" i="27"/>
  <c r="V34" i="27" s="1"/>
  <c r="U33" i="27"/>
  <c r="T33" i="27"/>
  <c r="S33" i="27"/>
  <c r="R33" i="27"/>
  <c r="S34" i="27" s="1"/>
  <c r="Q33" i="27"/>
  <c r="P33" i="27"/>
  <c r="O33" i="27"/>
  <c r="P34" i="27" s="1"/>
  <c r="N33" i="27"/>
  <c r="M33" i="27"/>
  <c r="L33" i="27"/>
  <c r="M34" i="27" s="1"/>
  <c r="K33" i="27"/>
  <c r="J33" i="27"/>
  <c r="J34" i="27" s="1"/>
  <c r="I33" i="27"/>
  <c r="H33" i="27"/>
  <c r="G33" i="27"/>
  <c r="F33" i="27"/>
  <c r="G34" i="27" s="1"/>
  <c r="E33" i="27"/>
  <c r="D33" i="27"/>
  <c r="C33" i="27"/>
  <c r="D34" i="27" s="1"/>
  <c r="AQ32" i="27"/>
  <c r="AM32" i="27"/>
  <c r="AQ31" i="27"/>
  <c r="AM31" i="27"/>
  <c r="AQ30" i="27"/>
  <c r="AM30" i="27"/>
  <c r="AQ29" i="27"/>
  <c r="AM29" i="27"/>
  <c r="AQ28" i="27"/>
  <c r="AM28" i="27"/>
  <c r="AQ27" i="27"/>
  <c r="AM27" i="27"/>
  <c r="AQ26" i="27"/>
  <c r="AM26" i="27"/>
  <c r="AQ25" i="27"/>
  <c r="AM25" i="27"/>
  <c r="AQ24" i="27"/>
  <c r="AM24" i="27"/>
  <c r="AQ23" i="27"/>
  <c r="AM23" i="27"/>
  <c r="AQ22" i="27"/>
  <c r="AM22" i="27"/>
  <c r="AQ21" i="27"/>
  <c r="AM21" i="27"/>
  <c r="AQ20" i="27"/>
  <c r="AM20" i="27"/>
  <c r="AQ19" i="27"/>
  <c r="AM19" i="27"/>
  <c r="AQ18" i="27"/>
  <c r="AM18" i="27"/>
  <c r="AQ17" i="27"/>
  <c r="AM17" i="27"/>
  <c r="AQ16" i="27"/>
  <c r="AM16" i="27"/>
  <c r="AQ15" i="27"/>
  <c r="AM15" i="27"/>
  <c r="AQ14" i="27"/>
  <c r="AM14" i="27"/>
  <c r="AQ13" i="27"/>
  <c r="AM13" i="27"/>
  <c r="AQ12" i="27"/>
  <c r="AP12" i="27"/>
  <c r="AM12" i="27"/>
  <c r="AQ11" i="27"/>
  <c r="AM11" i="27"/>
  <c r="AO10" i="27"/>
  <c r="AQ10" i="27" s="1"/>
  <c r="AM10" i="27"/>
  <c r="AQ9" i="27"/>
  <c r="AP9" i="27"/>
  <c r="AM9" i="27"/>
  <c r="AQ8" i="27"/>
  <c r="AM8" i="27"/>
  <c r="AM34" i="27" s="1"/>
  <c r="F13" i="19"/>
  <c r="H26" i="22" l="1"/>
  <c r="H30" i="22"/>
  <c r="H6" i="22"/>
  <c r="H22" i="22"/>
  <c r="H19" i="22"/>
  <c r="H44" i="22"/>
  <c r="H23" i="22"/>
  <c r="H46" i="22"/>
  <c r="G49" i="22"/>
  <c r="H39" i="22"/>
  <c r="H47" i="22"/>
  <c r="H12" i="22"/>
  <c r="H20" i="22"/>
  <c r="H24" i="22"/>
  <c r="H31" i="22"/>
  <c r="H48" i="22"/>
  <c r="H21" i="22"/>
  <c r="H25" i="22"/>
  <c r="H32" i="22"/>
  <c r="AQ34" i="27"/>
  <c r="AM33" i="27"/>
  <c r="F40" i="47"/>
  <c r="F45" i="47" s="1"/>
  <c r="N13" i="47"/>
  <c r="P13" i="47" s="1"/>
  <c r="P15" i="47" s="1"/>
  <c r="F6" i="47" s="1"/>
  <c r="H8" i="22" s="1"/>
  <c r="N5" i="47"/>
  <c r="R11" i="47" s="1"/>
  <c r="F40" i="46"/>
  <c r="F45" i="46" s="1"/>
  <c r="F24" i="46"/>
  <c r="F23" i="46"/>
  <c r="F22" i="46"/>
  <c r="F21" i="46"/>
  <c r="P13" i="46"/>
  <c r="P11" i="46"/>
  <c r="F45" i="35"/>
  <c r="F40" i="35"/>
  <c r="P28" i="35"/>
  <c r="F8" i="35" s="1"/>
  <c r="F24" i="35"/>
  <c r="F23" i="35"/>
  <c r="F22" i="35"/>
  <c r="F21" i="35"/>
  <c r="P22" i="35"/>
  <c r="F7" i="35" s="1"/>
  <c r="P13" i="35"/>
  <c r="P11" i="35"/>
  <c r="N5" i="35"/>
  <c r="N55" i="45"/>
  <c r="F55" i="45"/>
  <c r="G55" i="45" s="1"/>
  <c r="V52" i="45"/>
  <c r="N54" i="45"/>
  <c r="F54" i="45"/>
  <c r="G54" i="45" s="1"/>
  <c r="D54" i="45"/>
  <c r="N53" i="45"/>
  <c r="N52" i="45"/>
  <c r="V51" i="45"/>
  <c r="N51" i="45"/>
  <c r="F50" i="45"/>
  <c r="G50" i="45" s="1"/>
  <c r="G53" i="45" s="1"/>
  <c r="P26" i="47" s="1"/>
  <c r="V46" i="45"/>
  <c r="N47" i="45"/>
  <c r="N50" i="45" s="1"/>
  <c r="V45" i="45"/>
  <c r="V50" i="45" s="1"/>
  <c r="V44" i="45"/>
  <c r="N43" i="45"/>
  <c r="N46" i="45" s="1"/>
  <c r="F40" i="45"/>
  <c r="G40" i="45" s="1"/>
  <c r="F39" i="45"/>
  <c r="G39" i="45" s="1"/>
  <c r="G49" i="45" s="1"/>
  <c r="P25" i="47" s="1"/>
  <c r="N38" i="45"/>
  <c r="N37" i="45"/>
  <c r="N36" i="45"/>
  <c r="L32" i="45"/>
  <c r="K32" i="45"/>
  <c r="N31" i="45"/>
  <c r="N30" i="45"/>
  <c r="G30" i="45"/>
  <c r="F30" i="45"/>
  <c r="N29" i="45"/>
  <c r="N32" i="45" s="1"/>
  <c r="F29" i="45"/>
  <c r="G29" i="45" s="1"/>
  <c r="L28" i="45"/>
  <c r="K28" i="45"/>
  <c r="G28" i="45"/>
  <c r="F28" i="45"/>
  <c r="N27" i="45"/>
  <c r="N26" i="45"/>
  <c r="V25" i="45"/>
  <c r="V34" i="45" s="1"/>
  <c r="F11" i="47" s="1"/>
  <c r="H13" i="22" s="1"/>
  <c r="N25" i="45"/>
  <c r="N28" i="45" s="1"/>
  <c r="L24" i="45"/>
  <c r="K24" i="45"/>
  <c r="N23" i="45"/>
  <c r="N22" i="45"/>
  <c r="V21" i="45"/>
  <c r="N21" i="45"/>
  <c r="N24" i="45" s="1"/>
  <c r="G21" i="45"/>
  <c r="G24" i="45" s="1"/>
  <c r="P21" i="47" s="1"/>
  <c r="F21" i="45"/>
  <c r="D21" i="45"/>
  <c r="L20" i="45"/>
  <c r="K20" i="45"/>
  <c r="N19" i="45"/>
  <c r="N18" i="45"/>
  <c r="N17" i="45"/>
  <c r="N20" i="45" s="1"/>
  <c r="G20" i="45"/>
  <c r="L16" i="45"/>
  <c r="K16" i="45"/>
  <c r="N15" i="45"/>
  <c r="N14" i="45"/>
  <c r="N13" i="45"/>
  <c r="N16" i="45" s="1"/>
  <c r="K12" i="45"/>
  <c r="F12" i="45"/>
  <c r="G12" i="45" s="1"/>
  <c r="G16" i="45" s="1"/>
  <c r="P18" i="47" s="1"/>
  <c r="N10" i="45"/>
  <c r="N9" i="45"/>
  <c r="N8" i="45"/>
  <c r="G8" i="45"/>
  <c r="L7" i="45"/>
  <c r="L12" i="45" s="1"/>
  <c r="N6" i="45"/>
  <c r="G7" i="45"/>
  <c r="N55" i="44"/>
  <c r="F55" i="44"/>
  <c r="G55" i="44" s="1"/>
  <c r="V52" i="44"/>
  <c r="N54" i="44"/>
  <c r="F54" i="44"/>
  <c r="G54" i="44" s="1"/>
  <c r="G57" i="44" s="1"/>
  <c r="P27" i="46" s="1"/>
  <c r="D54" i="44"/>
  <c r="N53" i="44"/>
  <c r="N52" i="44"/>
  <c r="V51" i="44"/>
  <c r="V56" i="44" s="1"/>
  <c r="N51" i="44"/>
  <c r="F50" i="44"/>
  <c r="G50" i="44" s="1"/>
  <c r="G53" i="44" s="1"/>
  <c r="P26" i="46" s="1"/>
  <c r="V46" i="44"/>
  <c r="N47" i="44"/>
  <c r="N50" i="44" s="1"/>
  <c r="V45" i="44"/>
  <c r="V50" i="44" s="1"/>
  <c r="V44" i="44"/>
  <c r="N43" i="44"/>
  <c r="N46" i="44" s="1"/>
  <c r="F40" i="44"/>
  <c r="G40" i="44" s="1"/>
  <c r="F39" i="44"/>
  <c r="G39" i="44" s="1"/>
  <c r="G49" i="44" s="1"/>
  <c r="P25" i="46" s="1"/>
  <c r="N38" i="44"/>
  <c r="N37" i="44"/>
  <c r="N36" i="44"/>
  <c r="L32" i="44"/>
  <c r="K32" i="44"/>
  <c r="N31" i="44"/>
  <c r="N30" i="44"/>
  <c r="G30" i="44"/>
  <c r="F30" i="44"/>
  <c r="N29" i="44"/>
  <c r="N32" i="44" s="1"/>
  <c r="F29" i="44"/>
  <c r="G29" i="44" s="1"/>
  <c r="L28" i="44"/>
  <c r="K28" i="44"/>
  <c r="G28" i="44"/>
  <c r="F28" i="44"/>
  <c r="V25" i="44"/>
  <c r="V34" i="44" s="1"/>
  <c r="F11" i="46" s="1"/>
  <c r="G13" i="22" s="1"/>
  <c r="N28" i="44"/>
  <c r="P35" i="46" s="1"/>
  <c r="L24" i="44"/>
  <c r="K24" i="44"/>
  <c r="V21" i="44"/>
  <c r="N21" i="44"/>
  <c r="N24" i="44" s="1"/>
  <c r="P34" i="46" s="1"/>
  <c r="G21" i="44"/>
  <c r="G24" i="44" s="1"/>
  <c r="P21" i="46" s="1"/>
  <c r="F21" i="44"/>
  <c r="D21" i="44"/>
  <c r="L20" i="44"/>
  <c r="K20" i="44"/>
  <c r="N20" i="44"/>
  <c r="P33" i="46" s="1"/>
  <c r="G20" i="44"/>
  <c r="L16" i="44"/>
  <c r="K16" i="44"/>
  <c r="N13" i="44"/>
  <c r="N16" i="44" s="1"/>
  <c r="P31" i="46" s="1"/>
  <c r="K12" i="44"/>
  <c r="F12" i="44"/>
  <c r="G12" i="44" s="1"/>
  <c r="G16" i="44" s="1"/>
  <c r="P18" i="46" s="1"/>
  <c r="N9" i="44"/>
  <c r="N8" i="44"/>
  <c r="G8" i="44"/>
  <c r="L7" i="44"/>
  <c r="N7" i="44" s="1"/>
  <c r="N12" i="44" s="1"/>
  <c r="P30" i="46" s="1"/>
  <c r="N6" i="44"/>
  <c r="G7" i="44"/>
  <c r="G56" i="36"/>
  <c r="N55" i="36"/>
  <c r="F55" i="36"/>
  <c r="G55" i="36" s="1"/>
  <c r="V52" i="36"/>
  <c r="N54" i="36"/>
  <c r="F54" i="36"/>
  <c r="G54" i="36" s="1"/>
  <c r="G57" i="36" s="1"/>
  <c r="D54" i="36"/>
  <c r="N53" i="36"/>
  <c r="N52" i="36"/>
  <c r="G52" i="36"/>
  <c r="V51" i="36"/>
  <c r="N51" i="36"/>
  <c r="G51" i="36"/>
  <c r="F50" i="36"/>
  <c r="G50" i="36" s="1"/>
  <c r="G53" i="36" s="1"/>
  <c r="V46" i="36"/>
  <c r="G48" i="36"/>
  <c r="N47" i="36"/>
  <c r="N50" i="36" s="1"/>
  <c r="G47" i="36"/>
  <c r="G46" i="36"/>
  <c r="V45" i="36"/>
  <c r="V44" i="36"/>
  <c r="N43" i="36"/>
  <c r="N46" i="36" s="1"/>
  <c r="G42" i="36"/>
  <c r="G41" i="36"/>
  <c r="F40" i="36"/>
  <c r="G40" i="36" s="1"/>
  <c r="F39" i="36"/>
  <c r="G39" i="36" s="1"/>
  <c r="G49" i="36" s="1"/>
  <c r="N38" i="36"/>
  <c r="N37" i="36"/>
  <c r="G37" i="36"/>
  <c r="N36" i="36"/>
  <c r="N42" i="36" s="1"/>
  <c r="G36" i="36"/>
  <c r="G35" i="36"/>
  <c r="G34" i="36"/>
  <c r="G33" i="36"/>
  <c r="L32" i="36"/>
  <c r="K32" i="36"/>
  <c r="G32" i="36"/>
  <c r="N31" i="36"/>
  <c r="N30" i="36"/>
  <c r="G30" i="36"/>
  <c r="F30" i="36"/>
  <c r="N29" i="36"/>
  <c r="N32" i="36" s="1"/>
  <c r="F29" i="36"/>
  <c r="G29" i="36" s="1"/>
  <c r="L28" i="36"/>
  <c r="K28" i="36"/>
  <c r="G28" i="36"/>
  <c r="F28" i="36"/>
  <c r="N27" i="36"/>
  <c r="N26" i="36"/>
  <c r="V25" i="36"/>
  <c r="V34" i="36" s="1"/>
  <c r="N25" i="36"/>
  <c r="N28" i="36" s="1"/>
  <c r="L24" i="36"/>
  <c r="K24" i="36"/>
  <c r="N23" i="36"/>
  <c r="G23" i="36"/>
  <c r="N22" i="36"/>
  <c r="G22" i="36"/>
  <c r="V21" i="36"/>
  <c r="N21" i="36"/>
  <c r="N24" i="36" s="1"/>
  <c r="G21" i="36"/>
  <c r="G24" i="36" s="1"/>
  <c r="F21" i="36"/>
  <c r="D21" i="36"/>
  <c r="L20" i="36"/>
  <c r="K20" i="36"/>
  <c r="N19" i="36"/>
  <c r="G19" i="36"/>
  <c r="N18" i="36"/>
  <c r="G18" i="36"/>
  <c r="N17" i="36"/>
  <c r="N20" i="36" s="1"/>
  <c r="G17" i="36"/>
  <c r="G20" i="36" s="1"/>
  <c r="L16" i="36"/>
  <c r="K16" i="36"/>
  <c r="N15" i="36"/>
  <c r="G15" i="36"/>
  <c r="N14" i="36"/>
  <c r="G14" i="36"/>
  <c r="N13" i="36"/>
  <c r="N16" i="36" s="1"/>
  <c r="G13" i="36"/>
  <c r="K12" i="36"/>
  <c r="F12" i="36"/>
  <c r="G12" i="36" s="1"/>
  <c r="G16" i="36" s="1"/>
  <c r="N10" i="36"/>
  <c r="G10" i="36"/>
  <c r="N9" i="36"/>
  <c r="G9" i="36"/>
  <c r="N8" i="36"/>
  <c r="G8" i="36"/>
  <c r="G11" i="36" s="1"/>
  <c r="L7" i="36"/>
  <c r="N7" i="36" s="1"/>
  <c r="N6" i="36"/>
  <c r="G6" i="36"/>
  <c r="G5" i="36"/>
  <c r="G7" i="36" s="1"/>
  <c r="N5" i="46"/>
  <c r="G11" i="45" l="1"/>
  <c r="P17" i="47" s="1"/>
  <c r="P22" i="47" s="1"/>
  <c r="F7" i="47" s="1"/>
  <c r="H9" i="22" s="1"/>
  <c r="V57" i="44"/>
  <c r="F35" i="46" s="1"/>
  <c r="P28" i="46"/>
  <c r="F8" i="46" s="1"/>
  <c r="G10" i="22" s="1"/>
  <c r="G11" i="44"/>
  <c r="P17" i="46" s="1"/>
  <c r="P22" i="46" s="1"/>
  <c r="F7" i="46" s="1"/>
  <c r="G9" i="22" s="1"/>
  <c r="V50" i="36"/>
  <c r="N12" i="36"/>
  <c r="P30" i="35" s="1"/>
  <c r="P32" i="35" s="1"/>
  <c r="H49" i="22"/>
  <c r="V56" i="36"/>
  <c r="V57" i="36"/>
  <c r="F35" i="35" s="1"/>
  <c r="N42" i="44"/>
  <c r="V56" i="45"/>
  <c r="V57" i="45" s="1"/>
  <c r="F35" i="47" s="1"/>
  <c r="H38" i="22" s="1"/>
  <c r="N42" i="45"/>
  <c r="F4" i="47"/>
  <c r="H5" i="22" s="1"/>
  <c r="H7" i="22" s="1"/>
  <c r="P11" i="47"/>
  <c r="P15" i="46"/>
  <c r="F6" i="46" s="1"/>
  <c r="G8" i="22" s="1"/>
  <c r="F27" i="46"/>
  <c r="F29" i="46"/>
  <c r="R11" i="46"/>
  <c r="P32" i="46"/>
  <c r="P37" i="46" s="1"/>
  <c r="F9" i="46" s="1"/>
  <c r="F29" i="35"/>
  <c r="G32" i="22" s="1"/>
  <c r="F27" i="35"/>
  <c r="G30" i="22" s="1"/>
  <c r="P15" i="35"/>
  <c r="F6" i="35"/>
  <c r="N6" i="35"/>
  <c r="R11" i="35" s="1"/>
  <c r="N56" i="45"/>
  <c r="G57" i="45"/>
  <c r="P27" i="47" s="1"/>
  <c r="G38" i="45"/>
  <c r="P24" i="47" s="1"/>
  <c r="N7" i="45"/>
  <c r="N12" i="45" s="1"/>
  <c r="P30" i="47" s="1"/>
  <c r="P32" i="47" s="1"/>
  <c r="G38" i="44"/>
  <c r="N56" i="44"/>
  <c r="N57" i="44" s="1"/>
  <c r="F37" i="46" s="1"/>
  <c r="L12" i="44"/>
  <c r="G38" i="36"/>
  <c r="N56" i="36"/>
  <c r="N57" i="36" s="1"/>
  <c r="F37" i="35" s="1"/>
  <c r="L12" i="36"/>
  <c r="P37" i="47" l="1"/>
  <c r="F9" i="47" s="1"/>
  <c r="H11" i="22" s="1"/>
  <c r="P28" i="47"/>
  <c r="F8" i="47" s="1"/>
  <c r="H10" i="22" s="1"/>
  <c r="G38" i="22"/>
  <c r="G40" i="22"/>
  <c r="P37" i="35"/>
  <c r="F9" i="35" s="1"/>
  <c r="G11" i="22" s="1"/>
  <c r="F39" i="35"/>
  <c r="F39" i="46"/>
  <c r="N57" i="45"/>
  <c r="F37" i="47" s="1"/>
  <c r="H40" i="22" s="1"/>
  <c r="H42" i="22" s="1"/>
  <c r="F29" i="47"/>
  <c r="F27" i="47"/>
  <c r="Q11" i="47"/>
  <c r="Q11" i="46"/>
  <c r="F4" i="46"/>
  <c r="Q11" i="35"/>
  <c r="F4" i="35"/>
  <c r="G42" i="22" l="1"/>
  <c r="G5" i="22"/>
  <c r="G7" i="22" s="1"/>
  <c r="H17" i="22"/>
  <c r="H18" i="22"/>
  <c r="H16" i="22"/>
  <c r="F25" i="46"/>
  <c r="F26" i="46" s="1"/>
  <c r="F49" i="46" s="1"/>
  <c r="F39" i="47"/>
  <c r="G16" i="22" l="1"/>
  <c r="G18" i="22"/>
  <c r="H15" i="22"/>
  <c r="F25" i="47"/>
  <c r="G15" i="22"/>
  <c r="F25" i="35"/>
  <c r="G17" i="22"/>
  <c r="V10" i="38"/>
  <c r="F26" i="35" l="1"/>
  <c r="F49" i="35" s="1"/>
  <c r="G27" i="22"/>
  <c r="G28" i="22" s="1"/>
  <c r="G29" i="22" s="1"/>
  <c r="G43" i="22" s="1"/>
  <c r="G50" i="22" s="1"/>
  <c r="F26" i="47"/>
  <c r="F49" i="47" s="1"/>
  <c r="H27" i="22"/>
  <c r="H28" i="22" s="1"/>
  <c r="H29" i="22" s="1"/>
  <c r="H43" i="22" s="1"/>
  <c r="H50" i="22" s="1"/>
  <c r="V37" i="38"/>
  <c r="AM12" i="28" l="1"/>
  <c r="V9" i="38"/>
  <c r="N6" i="38" l="1"/>
  <c r="N6" i="40" l="1"/>
  <c r="AM8" i="28" l="1"/>
  <c r="AM9" i="28"/>
  <c r="AM10" i="28"/>
  <c r="AM11" i="28"/>
  <c r="AM13" i="28"/>
  <c r="AM14" i="28"/>
  <c r="AM15" i="28"/>
  <c r="AM16" i="28"/>
  <c r="AM17" i="28"/>
  <c r="AM18" i="28"/>
  <c r="AM8" i="29"/>
  <c r="AM9" i="29"/>
  <c r="AM10" i="29"/>
  <c r="AM11" i="29"/>
  <c r="AM12" i="29"/>
  <c r="AM13" i="29"/>
  <c r="AM14" i="29"/>
  <c r="AM15" i="29"/>
  <c r="AM16" i="29"/>
  <c r="AM17" i="29"/>
  <c r="AM18" i="29"/>
  <c r="F21" i="37" l="1"/>
  <c r="F21" i="39"/>
  <c r="F20" i="39" l="1"/>
  <c r="N50" i="38"/>
  <c r="N55" i="38" s="1"/>
  <c r="V50" i="38"/>
  <c r="V55" i="38" s="1"/>
  <c r="V44" i="38"/>
  <c r="V49" i="38" s="1"/>
  <c r="V24" i="38"/>
  <c r="F12" i="37"/>
  <c r="F28" i="37"/>
  <c r="P11" i="37"/>
  <c r="N11" i="37"/>
  <c r="N10" i="37"/>
  <c r="R9" i="37"/>
  <c r="N9" i="37"/>
  <c r="R8" i="37"/>
  <c r="N8" i="37"/>
  <c r="R7" i="37"/>
  <c r="N7" i="37"/>
  <c r="R6" i="37"/>
  <c r="N6" i="37"/>
  <c r="N5" i="37"/>
  <c r="F12" i="39"/>
  <c r="N54" i="40"/>
  <c r="V51" i="40"/>
  <c r="V45" i="40"/>
  <c r="V25" i="40"/>
  <c r="V24" i="40"/>
  <c r="P11" i="39"/>
  <c r="N11" i="39"/>
  <c r="N10" i="39"/>
  <c r="R9" i="39"/>
  <c r="N9" i="39"/>
  <c r="R8" i="39"/>
  <c r="N8" i="39"/>
  <c r="R7" i="39"/>
  <c r="N7" i="39"/>
  <c r="R6" i="39"/>
  <c r="N6" i="39"/>
  <c r="R5" i="39"/>
  <c r="N5" i="39"/>
  <c r="P35" i="39"/>
  <c r="G9" i="40"/>
  <c r="N9" i="40"/>
  <c r="G55" i="38"/>
  <c r="G54" i="38"/>
  <c r="G53" i="38"/>
  <c r="N49" i="38"/>
  <c r="G49" i="38"/>
  <c r="G52" i="38" s="1"/>
  <c r="G47" i="38"/>
  <c r="G46" i="38"/>
  <c r="N45" i="38"/>
  <c r="G45" i="38"/>
  <c r="G44" i="38"/>
  <c r="G43" i="38"/>
  <c r="G42" i="38"/>
  <c r="G41" i="38"/>
  <c r="G40" i="38"/>
  <c r="G39" i="38"/>
  <c r="G38" i="38"/>
  <c r="V43" i="38"/>
  <c r="G36" i="38"/>
  <c r="G35" i="38"/>
  <c r="G34" i="38"/>
  <c r="G33" i="38"/>
  <c r="G32" i="38"/>
  <c r="G31" i="38"/>
  <c r="L30" i="38"/>
  <c r="K30" i="38"/>
  <c r="G30" i="38"/>
  <c r="N29" i="38"/>
  <c r="G29" i="38"/>
  <c r="N28" i="38"/>
  <c r="G28" i="38"/>
  <c r="N30" i="38"/>
  <c r="G27" i="38"/>
  <c r="L26" i="38"/>
  <c r="K26" i="38"/>
  <c r="N25" i="38"/>
  <c r="N24" i="38"/>
  <c r="N23" i="38"/>
  <c r="N26" i="38" s="1"/>
  <c r="L22" i="38"/>
  <c r="K22" i="38"/>
  <c r="G22" i="38"/>
  <c r="N21" i="38"/>
  <c r="G21" i="38"/>
  <c r="N20" i="38"/>
  <c r="G20" i="38"/>
  <c r="N22" i="38"/>
  <c r="L18" i="38"/>
  <c r="K18" i="38"/>
  <c r="G18" i="38"/>
  <c r="N17" i="38"/>
  <c r="G17" i="38"/>
  <c r="N16" i="38"/>
  <c r="G16" i="38"/>
  <c r="N18" i="38"/>
  <c r="L14" i="38"/>
  <c r="K14" i="38"/>
  <c r="G14" i="38"/>
  <c r="G13" i="38"/>
  <c r="G12" i="38"/>
  <c r="G11" i="38"/>
  <c r="G15" i="38" s="1"/>
  <c r="L9" i="38"/>
  <c r="K9" i="38"/>
  <c r="G9" i="38"/>
  <c r="V8" i="38"/>
  <c r="N8" i="38"/>
  <c r="G8" i="38"/>
  <c r="G10" i="38" s="1"/>
  <c r="V7" i="38"/>
  <c r="N7" i="38"/>
  <c r="V6" i="38"/>
  <c r="N9" i="38"/>
  <c r="G6" i="38"/>
  <c r="V5" i="38"/>
  <c r="G5" i="38"/>
  <c r="N41" i="38" l="1"/>
  <c r="N56" i="38" s="1"/>
  <c r="R11" i="37"/>
  <c r="Q11" i="37" s="1"/>
  <c r="F28" i="39"/>
  <c r="R11" i="39"/>
  <c r="G7" i="38"/>
  <c r="G19" i="38"/>
  <c r="G23" i="38"/>
  <c r="V33" i="38"/>
  <c r="V56" i="38"/>
  <c r="N14" i="38"/>
  <c r="P31" i="37" s="1"/>
  <c r="G56" i="38"/>
  <c r="G37" i="38"/>
  <c r="V19" i="38"/>
  <c r="G48" i="38"/>
  <c r="G56" i="40"/>
  <c r="G55" i="40"/>
  <c r="N56" i="40"/>
  <c r="G54" i="40"/>
  <c r="G52" i="40"/>
  <c r="V56" i="40"/>
  <c r="G51" i="40"/>
  <c r="N50" i="40"/>
  <c r="G50" i="40"/>
  <c r="G53" i="40" s="1"/>
  <c r="G48" i="40"/>
  <c r="G47" i="40"/>
  <c r="N46" i="40"/>
  <c r="G46" i="40"/>
  <c r="V50" i="40"/>
  <c r="G45" i="40"/>
  <c r="V44" i="40"/>
  <c r="G44" i="40"/>
  <c r="G43" i="40"/>
  <c r="G42" i="40"/>
  <c r="G41" i="40"/>
  <c r="G40" i="40"/>
  <c r="G39" i="40"/>
  <c r="G37" i="40"/>
  <c r="G36" i="40"/>
  <c r="G35" i="40"/>
  <c r="G34" i="40"/>
  <c r="G33" i="40"/>
  <c r="G32" i="40"/>
  <c r="L31" i="40"/>
  <c r="K31" i="40"/>
  <c r="G31" i="40"/>
  <c r="G30" i="40"/>
  <c r="N29" i="40"/>
  <c r="G29" i="40"/>
  <c r="G28" i="40"/>
  <c r="L27" i="40"/>
  <c r="K27" i="40"/>
  <c r="N26" i="40"/>
  <c r="N25" i="40"/>
  <c r="N24" i="40"/>
  <c r="L23" i="40"/>
  <c r="K23" i="40"/>
  <c r="G23" i="40"/>
  <c r="N22" i="40"/>
  <c r="G22" i="40"/>
  <c r="N21" i="40"/>
  <c r="G21" i="40"/>
  <c r="L19" i="40"/>
  <c r="K19" i="40"/>
  <c r="G19" i="40"/>
  <c r="N18" i="40"/>
  <c r="G18" i="40"/>
  <c r="N17" i="40"/>
  <c r="G17" i="40"/>
  <c r="N16" i="40"/>
  <c r="L15" i="40"/>
  <c r="K15" i="40"/>
  <c r="G15" i="40"/>
  <c r="N14" i="40"/>
  <c r="G14" i="40"/>
  <c r="N13" i="40"/>
  <c r="G13" i="40"/>
  <c r="N12" i="40"/>
  <c r="G12" i="40"/>
  <c r="L10" i="40"/>
  <c r="K10" i="40"/>
  <c r="G10" i="40"/>
  <c r="V8" i="40"/>
  <c r="N8" i="40"/>
  <c r="G8" i="40"/>
  <c r="V7" i="40"/>
  <c r="N7" i="40"/>
  <c r="V6" i="40"/>
  <c r="G6" i="40"/>
  <c r="V5" i="40"/>
  <c r="G5" i="40"/>
  <c r="O20" i="41"/>
  <c r="N20" i="41"/>
  <c r="M20" i="41"/>
  <c r="L20" i="41"/>
  <c r="K20" i="41"/>
  <c r="J20" i="41"/>
  <c r="I20" i="41"/>
  <c r="H20" i="41"/>
  <c r="G20" i="41"/>
  <c r="F20" i="41"/>
  <c r="E20" i="41"/>
  <c r="D20" i="41"/>
  <c r="C20" i="41"/>
  <c r="O11" i="41"/>
  <c r="N11" i="41"/>
  <c r="M11" i="41"/>
  <c r="L11" i="41"/>
  <c r="K11" i="41"/>
  <c r="J11" i="41"/>
  <c r="I11" i="41"/>
  <c r="H11" i="41"/>
  <c r="G11" i="41"/>
  <c r="F11" i="41"/>
  <c r="E11" i="41"/>
  <c r="D11" i="41"/>
  <c r="C11" i="41"/>
  <c r="Q11" i="39" l="1"/>
  <c r="F4" i="39"/>
  <c r="N15" i="40"/>
  <c r="P31" i="39" s="1"/>
  <c r="V57" i="40"/>
  <c r="N42" i="40"/>
  <c r="N57" i="40" s="1"/>
  <c r="F37" i="39" s="1"/>
  <c r="G57" i="40"/>
  <c r="N10" i="40"/>
  <c r="P30" i="39" s="1"/>
  <c r="G11" i="40"/>
  <c r="N19" i="40"/>
  <c r="P33" i="39" s="1"/>
  <c r="N23" i="40"/>
  <c r="P34" i="39" s="1"/>
  <c r="N27" i="40"/>
  <c r="N31" i="40"/>
  <c r="P36" i="39" s="1"/>
  <c r="G38" i="40"/>
  <c r="G49" i="40"/>
  <c r="G7" i="40"/>
  <c r="G20" i="40"/>
  <c r="G24" i="40"/>
  <c r="V34" i="40"/>
  <c r="V20" i="40"/>
  <c r="G16" i="40"/>
  <c r="P35" i="37" l="1"/>
  <c r="J45" i="22"/>
  <c r="J46" i="22"/>
  <c r="J47" i="22"/>
  <c r="J48" i="22"/>
  <c r="J44" i="22"/>
  <c r="J39" i="22"/>
  <c r="J31" i="22"/>
  <c r="J32" i="22"/>
  <c r="J30" i="22"/>
  <c r="J14" i="22"/>
  <c r="J20" i="22"/>
  <c r="J21" i="22"/>
  <c r="J23" i="22"/>
  <c r="J24" i="22"/>
  <c r="J25" i="22"/>
  <c r="J26" i="22"/>
  <c r="J6" i="22"/>
  <c r="I6" i="22"/>
  <c r="F6" i="39"/>
  <c r="J8" i="22" s="1"/>
  <c r="I39" i="22"/>
  <c r="I31" i="22"/>
  <c r="I30" i="22"/>
  <c r="I48" i="22"/>
  <c r="F48" i="22" s="1"/>
  <c r="I47" i="22"/>
  <c r="I46" i="22"/>
  <c r="I44" i="22"/>
  <c r="I14" i="22"/>
  <c r="I20" i="22"/>
  <c r="I21" i="22"/>
  <c r="I22" i="22"/>
  <c r="I23" i="22"/>
  <c r="I24" i="22"/>
  <c r="I25" i="22"/>
  <c r="I26" i="22"/>
  <c r="F6" i="37"/>
  <c r="I8" i="22" s="1"/>
  <c r="F8" i="22" s="1"/>
  <c r="AL33" i="29"/>
  <c r="AK33" i="29"/>
  <c r="AJ33" i="29"/>
  <c r="AI33" i="29"/>
  <c r="AH33" i="29"/>
  <c r="AG33" i="29"/>
  <c r="AF33" i="29"/>
  <c r="AE33" i="29"/>
  <c r="AD33" i="29"/>
  <c r="AC33" i="29"/>
  <c r="AB33" i="29"/>
  <c r="AA33" i="29"/>
  <c r="Z33" i="29"/>
  <c r="Y33" i="29"/>
  <c r="X33" i="29"/>
  <c r="W33" i="29"/>
  <c r="V33" i="29"/>
  <c r="U33" i="29"/>
  <c r="T33" i="29"/>
  <c r="S33" i="29"/>
  <c r="R33" i="29"/>
  <c r="Q33" i="29"/>
  <c r="P33" i="29"/>
  <c r="O33" i="29"/>
  <c r="N33" i="29"/>
  <c r="M33" i="29"/>
  <c r="L33" i="29"/>
  <c r="K33" i="29"/>
  <c r="J33" i="29"/>
  <c r="I33" i="29"/>
  <c r="H33" i="29"/>
  <c r="G33" i="29"/>
  <c r="F33" i="29"/>
  <c r="E33" i="29"/>
  <c r="D33" i="29"/>
  <c r="C33" i="29"/>
  <c r="AM32" i="29"/>
  <c r="AM31" i="29"/>
  <c r="AM30" i="29"/>
  <c r="AM29" i="29"/>
  <c r="AM28" i="29"/>
  <c r="AM27" i="29"/>
  <c r="AM26" i="29"/>
  <c r="AM25" i="29"/>
  <c r="AM24" i="29"/>
  <c r="AM23" i="29"/>
  <c r="AM22" i="29"/>
  <c r="AM21" i="29"/>
  <c r="AM20" i="29"/>
  <c r="AM19" i="29"/>
  <c r="AL33" i="28"/>
  <c r="AK33" i="28"/>
  <c r="AJ33" i="28"/>
  <c r="AI33" i="28"/>
  <c r="AH33" i="28"/>
  <c r="AG33" i="28"/>
  <c r="AF33" i="28"/>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E33" i="28"/>
  <c r="D33" i="28"/>
  <c r="C33" i="28"/>
  <c r="AM32" i="28"/>
  <c r="AM31" i="28"/>
  <c r="AM30" i="28"/>
  <c r="AM29" i="28"/>
  <c r="AM28" i="28"/>
  <c r="AM27" i="28"/>
  <c r="AM26" i="28"/>
  <c r="AM25" i="28"/>
  <c r="AM24" i="28"/>
  <c r="AM23" i="28"/>
  <c r="AM22" i="28"/>
  <c r="AM21" i="28"/>
  <c r="AM20" i="28"/>
  <c r="AM19" i="28"/>
  <c r="F31" i="22" l="1"/>
  <c r="F24" i="22"/>
  <c r="F20" i="22"/>
  <c r="F47" i="22"/>
  <c r="F39" i="22"/>
  <c r="F21" i="22"/>
  <c r="F25" i="22"/>
  <c r="F14" i="22"/>
  <c r="F46" i="22"/>
  <c r="F6" i="22"/>
  <c r="F23" i="22"/>
  <c r="F26" i="22"/>
  <c r="F22" i="22"/>
  <c r="F44" i="22"/>
  <c r="F30" i="22"/>
  <c r="P18" i="39"/>
  <c r="P19" i="39"/>
  <c r="P17" i="39"/>
  <c r="F10" i="39"/>
  <c r="J12" i="22" s="1"/>
  <c r="P24" i="39"/>
  <c r="P25" i="39"/>
  <c r="P27" i="39"/>
  <c r="F11" i="39"/>
  <c r="J13" i="22" s="1"/>
  <c r="P26" i="39"/>
  <c r="P19" i="37"/>
  <c r="P17" i="37"/>
  <c r="P33" i="37"/>
  <c r="P34" i="37"/>
  <c r="P36" i="37"/>
  <c r="F10" i="37"/>
  <c r="I12" i="22" s="1"/>
  <c r="P18" i="37"/>
  <c r="F45" i="37"/>
  <c r="I45" i="22"/>
  <c r="AM34" i="29"/>
  <c r="G34" i="28"/>
  <c r="P24" i="37"/>
  <c r="P25" i="37"/>
  <c r="P30" i="37"/>
  <c r="F11" i="37"/>
  <c r="I13" i="22" s="1"/>
  <c r="P26" i="37"/>
  <c r="P27" i="37"/>
  <c r="D34" i="28"/>
  <c r="M34" i="28"/>
  <c r="P34" i="28"/>
  <c r="S34" i="28"/>
  <c r="Y34" i="28"/>
  <c r="AB34" i="28"/>
  <c r="AK34" i="28"/>
  <c r="AE34" i="28"/>
  <c r="AE34" i="29"/>
  <c r="G34" i="29"/>
  <c r="S34" i="29"/>
  <c r="J34" i="29"/>
  <c r="V34" i="29"/>
  <c r="D34" i="29"/>
  <c r="M34" i="29"/>
  <c r="P34" i="29"/>
  <c r="Y34" i="29"/>
  <c r="AB34" i="29"/>
  <c r="AK34" i="29"/>
  <c r="AH34" i="29"/>
  <c r="AM33" i="29"/>
  <c r="J34" i="28"/>
  <c r="V34" i="28"/>
  <c r="AH34" i="28"/>
  <c r="AM33" i="28"/>
  <c r="AM34" i="28"/>
  <c r="F45" i="39"/>
  <c r="F4" i="37"/>
  <c r="I15" i="22"/>
  <c r="J15" i="22" l="1"/>
  <c r="F15" i="22" s="1"/>
  <c r="F13" i="22"/>
  <c r="F12" i="22"/>
  <c r="I49" i="22"/>
  <c r="F45" i="22"/>
  <c r="I5" i="22"/>
  <c r="I32" i="22"/>
  <c r="F32" i="22" s="1"/>
  <c r="F35" i="39"/>
  <c r="J38" i="22" s="1"/>
  <c r="P22" i="39"/>
  <c r="F7" i="39" s="1"/>
  <c r="J9" i="22" s="1"/>
  <c r="P28" i="39"/>
  <c r="F8" i="39" s="1"/>
  <c r="J10" i="22" s="1"/>
  <c r="P32" i="39"/>
  <c r="P37" i="39" s="1"/>
  <c r="F9" i="39" s="1"/>
  <c r="J11" i="22" s="1"/>
  <c r="J5" i="22"/>
  <c r="J7" i="22" s="1"/>
  <c r="P32" i="37"/>
  <c r="P37" i="37" s="1"/>
  <c r="F9" i="37" s="1"/>
  <c r="I11" i="22" s="1"/>
  <c r="P22" i="37"/>
  <c r="F7" i="37" s="1"/>
  <c r="I9" i="22" s="1"/>
  <c r="F35" i="37"/>
  <c r="I38" i="22" s="1"/>
  <c r="F37" i="37"/>
  <c r="I40" i="22" s="1"/>
  <c r="P28" i="37"/>
  <c r="F8" i="37" s="1"/>
  <c r="I10" i="22" s="1"/>
  <c r="F10" i="22" s="1"/>
  <c r="J40" i="22"/>
  <c r="J17" i="22"/>
  <c r="J19" i="22"/>
  <c r="J16" i="22"/>
  <c r="J18" i="22"/>
  <c r="I18" i="22"/>
  <c r="I16" i="22"/>
  <c r="I19" i="22"/>
  <c r="I17" i="22"/>
  <c r="F9" i="22" l="1"/>
  <c r="F38" i="22"/>
  <c r="F19" i="22"/>
  <c r="F11" i="22"/>
  <c r="F17" i="22"/>
  <c r="F40" i="22"/>
  <c r="I7" i="22"/>
  <c r="F7" i="22" s="1"/>
  <c r="F5" i="22"/>
  <c r="F18" i="22"/>
  <c r="F16" i="22"/>
  <c r="F39" i="39"/>
  <c r="F39" i="37"/>
  <c r="F25" i="37"/>
  <c r="F26" i="37" s="1"/>
  <c r="F25" i="39"/>
  <c r="F26" i="39" s="1"/>
  <c r="J27" i="22" l="1"/>
  <c r="I27" i="22"/>
  <c r="F27" i="22" l="1"/>
  <c r="J28" i="22"/>
  <c r="J29" i="22" l="1"/>
  <c r="I28" i="22"/>
  <c r="I29" i="22" s="1"/>
  <c r="F28" i="22" l="1"/>
  <c r="F29" i="22"/>
  <c r="J49" i="22"/>
  <c r="F49" i="22" s="1"/>
  <c r="F35" i="22"/>
  <c r="F34" i="22"/>
  <c r="F37" i="22"/>
  <c r="F33" i="22"/>
  <c r="F36" i="22"/>
  <c r="I42" i="22"/>
  <c r="F41" i="22"/>
  <c r="J42" i="22"/>
  <c r="J43" i="22" s="1"/>
  <c r="J50" i="22" l="1"/>
  <c r="F42" i="22"/>
  <c r="I43" i="22"/>
  <c r="I50" i="22" s="1"/>
  <c r="F50" i="22" l="1"/>
  <c r="F43" i="22"/>
</calcChain>
</file>

<file path=xl/sharedStrings.xml><?xml version="1.0" encoding="utf-8"?>
<sst xmlns="http://schemas.openxmlformats.org/spreadsheetml/2006/main" count="2355" uniqueCount="793">
  <si>
    <t>交際費等 雑費</t>
    <rPh sb="0" eb="3">
      <t>コウサイヒ</t>
    </rPh>
    <rPh sb="3" eb="4">
      <t>トウ</t>
    </rPh>
    <rPh sb="5" eb="7">
      <t>ザッピ</t>
    </rPh>
    <phoneticPr fontId="4"/>
  </si>
  <si>
    <t>雑損失</t>
    <rPh sb="0" eb="2">
      <t>ザッソン</t>
    </rPh>
    <rPh sb="2" eb="3">
      <t>シツ</t>
    </rPh>
    <phoneticPr fontId="4"/>
  </si>
  <si>
    <t>固定資産税</t>
    <rPh sb="0" eb="2">
      <t>コテイ</t>
    </rPh>
    <rPh sb="2" eb="5">
      <t>シサンゼイ</t>
    </rPh>
    <phoneticPr fontId="5"/>
  </si>
  <si>
    <t>出荷資材費</t>
    <rPh sb="0" eb="2">
      <t>シュッカ</t>
    </rPh>
    <rPh sb="2" eb="5">
      <t>シザイヒ</t>
    </rPh>
    <phoneticPr fontId="4"/>
  </si>
  <si>
    <t>運賃</t>
    <rPh sb="0" eb="2">
      <t>ウンチン</t>
    </rPh>
    <phoneticPr fontId="4"/>
  </si>
  <si>
    <t>内容</t>
    <rPh sb="0" eb="2">
      <t>ナイヨウ</t>
    </rPh>
    <phoneticPr fontId="5"/>
  </si>
  <si>
    <t>小農具費</t>
    <rPh sb="0" eb="1">
      <t>ショウ</t>
    </rPh>
    <rPh sb="1" eb="3">
      <t>ノウグ</t>
    </rPh>
    <rPh sb="3" eb="4">
      <t>ヒ</t>
    </rPh>
    <phoneticPr fontId="4"/>
  </si>
  <si>
    <t>賃料料金</t>
    <rPh sb="0" eb="2">
      <t>チンリョウ</t>
    </rPh>
    <rPh sb="2" eb="4">
      <t>リョウキン</t>
    </rPh>
    <phoneticPr fontId="4"/>
  </si>
  <si>
    <t>販売手数料</t>
    <rPh sb="0" eb="2">
      <t>ハンバイ</t>
    </rPh>
    <rPh sb="2" eb="5">
      <t>テスウリョウ</t>
    </rPh>
    <phoneticPr fontId="4"/>
  </si>
  <si>
    <t>（単位）</t>
    <rPh sb="1" eb="3">
      <t>タンイ</t>
    </rPh>
    <phoneticPr fontId="4"/>
  </si>
  <si>
    <t>水稲</t>
  </si>
  <si>
    <t>品   種</t>
  </si>
  <si>
    <t>栽培方法</t>
  </si>
  <si>
    <t>栽培のﾎﾟｲﾝﾄ</t>
  </si>
  <si>
    <t>土地条件，利用</t>
  </si>
  <si>
    <t>労働力利用</t>
  </si>
  <si>
    <t>機械･施設装備</t>
  </si>
  <si>
    <t>販売方法</t>
  </si>
  <si>
    <t>技   　術　   的　　条   　件</t>
  </si>
  <si>
    <t>経　営　的　条　件</t>
  </si>
  <si>
    <t>項　　　　目　</t>
  </si>
  <si>
    <t>金　　額</t>
  </si>
  <si>
    <t>算　　出　　基　　礎</t>
  </si>
  <si>
    <t>粗収益</t>
  </si>
  <si>
    <t>単価</t>
  </si>
  <si>
    <t>合計</t>
    <rPh sb="0" eb="2">
      <t>ゴウケイ</t>
    </rPh>
    <phoneticPr fontId="4"/>
  </si>
  <si>
    <t>数　　量</t>
  </si>
  <si>
    <t>金　額</t>
  </si>
  <si>
    <t>備　考</t>
  </si>
  <si>
    <t>　計</t>
  </si>
  <si>
    <t>殺菌剤</t>
    <rPh sb="0" eb="3">
      <t>サッキンザイ</t>
    </rPh>
    <phoneticPr fontId="4"/>
  </si>
  <si>
    <t>殺虫剤</t>
    <rPh sb="0" eb="2">
      <t>サッチュウ</t>
    </rPh>
    <rPh sb="2" eb="3">
      <t>ザイ</t>
    </rPh>
    <phoneticPr fontId="4"/>
  </si>
  <si>
    <t>除草剤</t>
    <rPh sb="0" eb="3">
      <t>ジョソウザイ</t>
    </rPh>
    <phoneticPr fontId="4"/>
  </si>
  <si>
    <t>燃料費の</t>
    <phoneticPr fontId="4"/>
  </si>
  <si>
    <t>計</t>
  </si>
  <si>
    <t>上</t>
  </si>
  <si>
    <t>中</t>
  </si>
  <si>
    <t>下</t>
  </si>
  <si>
    <t>種　　　類</t>
  </si>
  <si>
    <t>規　模</t>
  </si>
  <si>
    <t>新調価格</t>
  </si>
  <si>
    <t>負担価格</t>
  </si>
  <si>
    <t>残存価格</t>
  </si>
  <si>
    <t>耐用年数</t>
  </si>
  <si>
    <t>年償却額</t>
  </si>
  <si>
    <t>小　　計</t>
  </si>
  <si>
    <t>　　小　　計</t>
  </si>
  <si>
    <t>鉄パイプ</t>
  </si>
  <si>
    <t>ガソリン</t>
    <phoneticPr fontId="4"/>
  </si>
  <si>
    <t>軽油</t>
    <phoneticPr fontId="4"/>
  </si>
  <si>
    <t>潤滑油</t>
    <phoneticPr fontId="4"/>
  </si>
  <si>
    <t>混合</t>
    <phoneticPr fontId="4"/>
  </si>
  <si>
    <t>灯油</t>
    <phoneticPr fontId="4"/>
  </si>
  <si>
    <t>電気</t>
    <phoneticPr fontId="4"/>
  </si>
  <si>
    <t>トラクター</t>
  </si>
  <si>
    <t>ドライブハロー</t>
  </si>
  <si>
    <t>コンバイン</t>
  </si>
  <si>
    <t>品種</t>
    <rPh sb="0" eb="2">
      <t>ヒンシュ</t>
    </rPh>
    <phoneticPr fontId="4"/>
  </si>
  <si>
    <t>台</t>
  </si>
  <si>
    <t>売上高</t>
    <rPh sb="0" eb="2">
      <t>ウリアゲ</t>
    </rPh>
    <rPh sb="2" eb="3">
      <t>ダカ</t>
    </rPh>
    <phoneticPr fontId="4"/>
  </si>
  <si>
    <t>種苗費</t>
    <rPh sb="0" eb="2">
      <t>シュビョウ</t>
    </rPh>
    <rPh sb="2" eb="3">
      <t>ヒ</t>
    </rPh>
    <phoneticPr fontId="4"/>
  </si>
  <si>
    <t>肥料費</t>
    <rPh sb="0" eb="3">
      <t>ヒリョウヒ</t>
    </rPh>
    <phoneticPr fontId="4"/>
  </si>
  <si>
    <t>農薬費</t>
    <rPh sb="0" eb="2">
      <t>ノウヤク</t>
    </rPh>
    <rPh sb="2" eb="3">
      <t>ヒ</t>
    </rPh>
    <phoneticPr fontId="4"/>
  </si>
  <si>
    <t>諸材料費</t>
    <rPh sb="0" eb="1">
      <t>ショ</t>
    </rPh>
    <rPh sb="1" eb="4">
      <t>ザイリョウヒ</t>
    </rPh>
    <phoneticPr fontId="4"/>
  </si>
  <si>
    <t>修繕費</t>
    <rPh sb="0" eb="2">
      <t>シュウゼン</t>
    </rPh>
    <rPh sb="2" eb="3">
      <t>ヒ</t>
    </rPh>
    <phoneticPr fontId="4"/>
  </si>
  <si>
    <t>大動植物</t>
    <rPh sb="0" eb="1">
      <t>ダイ</t>
    </rPh>
    <rPh sb="1" eb="2">
      <t>ドウ</t>
    </rPh>
    <rPh sb="2" eb="4">
      <t>ショクブツ</t>
    </rPh>
    <phoneticPr fontId="4"/>
  </si>
  <si>
    <t>管理
委託料</t>
    <rPh sb="0" eb="2">
      <t>カンリ</t>
    </rPh>
    <rPh sb="3" eb="6">
      <t>イタクリョウ</t>
    </rPh>
    <phoneticPr fontId="4"/>
  </si>
  <si>
    <t>水管理</t>
    <rPh sb="0" eb="1">
      <t>ミズ</t>
    </rPh>
    <rPh sb="1" eb="3">
      <t>カンリ</t>
    </rPh>
    <phoneticPr fontId="4"/>
  </si>
  <si>
    <t>支払地代</t>
    <rPh sb="0" eb="2">
      <t>シハラ</t>
    </rPh>
    <rPh sb="2" eb="4">
      <t>チダイ</t>
    </rPh>
    <phoneticPr fontId="4"/>
  </si>
  <si>
    <t>販売費</t>
    <rPh sb="0" eb="3">
      <t>ハンバイヒ</t>
    </rPh>
    <phoneticPr fontId="4"/>
  </si>
  <si>
    <t>役員報酬</t>
    <rPh sb="0" eb="2">
      <t>ヤクイン</t>
    </rPh>
    <rPh sb="2" eb="4">
      <t>ホウシュウ</t>
    </rPh>
    <phoneticPr fontId="4"/>
  </si>
  <si>
    <t>会議費・旅費・研修費</t>
    <rPh sb="0" eb="3">
      <t>カイギヒ</t>
    </rPh>
    <rPh sb="4" eb="6">
      <t>リョヒ</t>
    </rPh>
    <rPh sb="7" eb="10">
      <t>ケンシュウヒ</t>
    </rPh>
    <phoneticPr fontId="4"/>
  </si>
  <si>
    <t>租税公課</t>
    <rPh sb="0" eb="2">
      <t>ソゼイ</t>
    </rPh>
    <rPh sb="2" eb="4">
      <t>コウカ</t>
    </rPh>
    <phoneticPr fontId="4"/>
  </si>
  <si>
    <t>雑収入</t>
    <rPh sb="0" eb="3">
      <t>ザッシュウニュウ</t>
    </rPh>
    <phoneticPr fontId="4"/>
  </si>
  <si>
    <t>営業外
収益</t>
    <rPh sb="0" eb="3">
      <t>エイギョウガイ</t>
    </rPh>
    <rPh sb="4" eb="6">
      <t>シュウエキ</t>
    </rPh>
    <phoneticPr fontId="4"/>
  </si>
  <si>
    <t>経営類型</t>
    <rPh sb="0" eb="2">
      <t>ケイエイ</t>
    </rPh>
    <rPh sb="2" eb="4">
      <t>ルイケイ</t>
    </rPh>
    <phoneticPr fontId="4"/>
  </si>
  <si>
    <t>作型</t>
    <rPh sb="0" eb="2">
      <t>サクガタ</t>
    </rPh>
    <phoneticPr fontId="4"/>
  </si>
  <si>
    <t>対象地域</t>
    <rPh sb="0" eb="2">
      <t>タイショウ</t>
    </rPh>
    <rPh sb="2" eb="4">
      <t>チイキ</t>
    </rPh>
    <phoneticPr fontId="4"/>
  </si>
  <si>
    <t>作　   物　   別　   作  　付   　規　   模</t>
    <phoneticPr fontId="4"/>
  </si>
  <si>
    <t>経　営　耕　地　面　積</t>
    <phoneticPr fontId="4"/>
  </si>
  <si>
    <t>対 象 作 目</t>
    <phoneticPr fontId="4"/>
  </si>
  <si>
    <t>面    積</t>
    <phoneticPr fontId="4"/>
  </si>
  <si>
    <t>そ の 他 の 作 物</t>
    <phoneticPr fontId="4"/>
  </si>
  <si>
    <t>面   積</t>
    <phoneticPr fontId="4"/>
  </si>
  <si>
    <t>田</t>
    <phoneticPr fontId="4"/>
  </si>
  <si>
    <t>畑</t>
    <phoneticPr fontId="4"/>
  </si>
  <si>
    <t>樹園地</t>
    <phoneticPr fontId="4"/>
  </si>
  <si>
    <t>草  地</t>
    <phoneticPr fontId="4"/>
  </si>
  <si>
    <t>（うち施設）</t>
    <phoneticPr fontId="4"/>
  </si>
  <si>
    <t>凡例</t>
    <phoneticPr fontId="4"/>
  </si>
  <si>
    <t>対象</t>
    <phoneticPr fontId="4"/>
  </si>
  <si>
    <t>区分</t>
    <rPh sb="0" eb="2">
      <t>クブン</t>
    </rPh>
    <phoneticPr fontId="4"/>
  </si>
  <si>
    <t>営業損益</t>
    <rPh sb="0" eb="2">
      <t>エイギョウ</t>
    </rPh>
    <rPh sb="2" eb="4">
      <t>ソンエキ</t>
    </rPh>
    <phoneticPr fontId="4"/>
  </si>
  <si>
    <t>作業受託収入</t>
    <rPh sb="0" eb="2">
      <t>サギョウ</t>
    </rPh>
    <rPh sb="2" eb="4">
      <t>ジュタク</t>
    </rPh>
    <rPh sb="4" eb="6">
      <t>シュウニュウ</t>
    </rPh>
    <phoneticPr fontId="4"/>
  </si>
  <si>
    <t>動力光熱費</t>
    <rPh sb="0" eb="2">
      <t>ドウリョク</t>
    </rPh>
    <rPh sb="2" eb="5">
      <t>コウネツヒ</t>
    </rPh>
    <phoneticPr fontId="4"/>
  </si>
  <si>
    <t>減価
償却費</t>
    <rPh sb="0" eb="2">
      <t>ゲンカ</t>
    </rPh>
    <rPh sb="3" eb="5">
      <t>ショウキャク</t>
    </rPh>
    <rPh sb="5" eb="6">
      <t>ヒ</t>
    </rPh>
    <phoneticPr fontId="4"/>
  </si>
  <si>
    <t>畦畔管理</t>
    <rPh sb="0" eb="1">
      <t>ケイ</t>
    </rPh>
    <rPh sb="1" eb="2">
      <t>ハン</t>
    </rPh>
    <rPh sb="2" eb="4">
      <t>カンリ</t>
    </rPh>
    <phoneticPr fontId="4"/>
  </si>
  <si>
    <t>事務通信費</t>
    <rPh sb="0" eb="2">
      <t>ジム</t>
    </rPh>
    <rPh sb="2" eb="5">
      <t>ツウシンヒ</t>
    </rPh>
    <phoneticPr fontId="4"/>
  </si>
  <si>
    <t>土地改良費・水利費</t>
    <rPh sb="0" eb="2">
      <t>トチ</t>
    </rPh>
    <rPh sb="2" eb="5">
      <t>カイリョウヒ</t>
    </rPh>
    <rPh sb="6" eb="8">
      <t>スイリ</t>
    </rPh>
    <rPh sb="8" eb="9">
      <t>ヒ</t>
    </rPh>
    <phoneticPr fontId="4"/>
  </si>
  <si>
    <t>営業外損益</t>
    <rPh sb="0" eb="3">
      <t>エイギョウガイ</t>
    </rPh>
    <rPh sb="3" eb="5">
      <t>ソンエキ</t>
    </rPh>
    <phoneticPr fontId="4"/>
  </si>
  <si>
    <t>営業外損益　計</t>
    <rPh sb="0" eb="3">
      <t>エイギョウガイ</t>
    </rPh>
    <rPh sb="3" eb="5">
      <t>ソンエキ</t>
    </rPh>
    <rPh sb="6" eb="7">
      <t>ケイ</t>
    </rPh>
    <phoneticPr fontId="4"/>
  </si>
  <si>
    <t>負担根拠</t>
    <rPh sb="0" eb="2">
      <t>フタン</t>
    </rPh>
    <rPh sb="2" eb="4">
      <t>コンキョ</t>
    </rPh>
    <phoneticPr fontId="4"/>
  </si>
  <si>
    <t>（数値）</t>
    <rPh sb="1" eb="3">
      <t>スウチ</t>
    </rPh>
    <phoneticPr fontId="4"/>
  </si>
  <si>
    <t>台</t>
    <rPh sb="0" eb="1">
      <t>ダイ</t>
    </rPh>
    <phoneticPr fontId="4"/>
  </si>
  <si>
    <t>鉄骨　スレート</t>
    <rPh sb="0" eb="2">
      <t>テッコツ</t>
    </rPh>
    <phoneticPr fontId="4"/>
  </si>
  <si>
    <t>○：播種　△：仮植　×：定植</t>
    <phoneticPr fontId="4"/>
  </si>
  <si>
    <t>４　経営収支</t>
    <rPh sb="2" eb="4">
      <t>ケイエイ</t>
    </rPh>
    <rPh sb="4" eb="6">
      <t>シュウシ</t>
    </rPh>
    <phoneticPr fontId="4"/>
  </si>
  <si>
    <t>７－１　経営収支（水稲部門，1ha当たり）</t>
    <rPh sb="9" eb="11">
      <t>スイトウ</t>
    </rPh>
    <rPh sb="11" eb="13">
      <t>ブモン</t>
    </rPh>
    <rPh sb="17" eb="18">
      <t>ア</t>
    </rPh>
    <phoneticPr fontId="4"/>
  </si>
  <si>
    <t>３－１　標準技術（水稲）</t>
    <rPh sb="4" eb="6">
      <t>ヒョウジュン</t>
    </rPh>
    <rPh sb="6" eb="8">
      <t>ギジュツ</t>
    </rPh>
    <rPh sb="9" eb="11">
      <t>スイトウ</t>
    </rPh>
    <phoneticPr fontId="4"/>
  </si>
  <si>
    <t>栽培様式</t>
    <rPh sb="0" eb="2">
      <t>サイバイ</t>
    </rPh>
    <rPh sb="2" eb="4">
      <t>ヨウシキ</t>
    </rPh>
    <phoneticPr fontId="4"/>
  </si>
  <si>
    <t>技術内容</t>
    <rPh sb="0" eb="2">
      <t>ギジュツ</t>
    </rPh>
    <rPh sb="2" eb="4">
      <t>ナイヨウ</t>
    </rPh>
    <phoneticPr fontId="4"/>
  </si>
  <si>
    <t>作業時期</t>
    <rPh sb="0" eb="2">
      <t>サギョウ</t>
    </rPh>
    <rPh sb="2" eb="4">
      <t>ジキ</t>
    </rPh>
    <phoneticPr fontId="4"/>
  </si>
  <si>
    <t>使用資材
（10a当たり）</t>
    <rPh sb="0" eb="2">
      <t>シヨウ</t>
    </rPh>
    <rPh sb="2" eb="4">
      <t>シザイ</t>
    </rPh>
    <rPh sb="9" eb="10">
      <t>ア</t>
    </rPh>
    <phoneticPr fontId="4"/>
  </si>
  <si>
    <t>技術上の
留意事項</t>
    <rPh sb="0" eb="2">
      <t>ギジュツ</t>
    </rPh>
    <rPh sb="2" eb="3">
      <t>ジョウ</t>
    </rPh>
    <rPh sb="5" eb="7">
      <t>リュウイ</t>
    </rPh>
    <rPh sb="7" eb="9">
      <t>ジコウ</t>
    </rPh>
    <phoneticPr fontId="4"/>
  </si>
  <si>
    <t>機械時間（10 a当たり）</t>
    <rPh sb="0" eb="2">
      <t>キカイ</t>
    </rPh>
    <rPh sb="2" eb="4">
      <t>ジカン</t>
    </rPh>
    <phoneticPr fontId="4"/>
  </si>
  <si>
    <t>人力時間（10 a当たり）</t>
    <rPh sb="0" eb="2">
      <t>ジンリキ</t>
    </rPh>
    <rPh sb="2" eb="4">
      <t>ジカン</t>
    </rPh>
    <phoneticPr fontId="4"/>
  </si>
  <si>
    <t>組作業人員(人）</t>
    <rPh sb="0" eb="1">
      <t>クミ</t>
    </rPh>
    <rPh sb="1" eb="3">
      <t>サギョウ</t>
    </rPh>
    <rPh sb="3" eb="5">
      <t>ジンイン</t>
    </rPh>
    <phoneticPr fontId="4"/>
  </si>
  <si>
    <t>使用施設・機械</t>
    <rPh sb="0" eb="2">
      <t>シヨウ</t>
    </rPh>
    <rPh sb="2" eb="4">
      <t>シセツ</t>
    </rPh>
    <rPh sb="5" eb="7">
      <t>キカイ</t>
    </rPh>
    <phoneticPr fontId="4"/>
  </si>
  <si>
    <t>作業・項目</t>
    <rPh sb="0" eb="2">
      <t>サギョウ</t>
    </rPh>
    <rPh sb="3" eb="5">
      <t>コウモク</t>
    </rPh>
    <phoneticPr fontId="4"/>
  </si>
  <si>
    <t>土地利用体系</t>
    <rPh sb="0" eb="2">
      <t>トチ</t>
    </rPh>
    <rPh sb="2" eb="4">
      <t>リヨウ</t>
    </rPh>
    <rPh sb="4" eb="6">
      <t>タイケイ</t>
    </rPh>
    <phoneticPr fontId="4"/>
  </si>
  <si>
    <t>面　積</t>
    <phoneticPr fontId="3"/>
  </si>
  <si>
    <t>１　対象経営の概要</t>
    <phoneticPr fontId="3"/>
  </si>
  <si>
    <t>保有労働力</t>
    <phoneticPr fontId="4"/>
  </si>
  <si>
    <t>作     　目</t>
    <phoneticPr fontId="3"/>
  </si>
  <si>
    <t>収穫 ：</t>
    <phoneticPr fontId="4"/>
  </si>
  <si>
    <t>２　前提条件</t>
    <phoneticPr fontId="4"/>
  </si>
  <si>
    <t>オペレーター賃金</t>
    <rPh sb="6" eb="8">
      <t>チンギン</t>
    </rPh>
    <phoneticPr fontId="4"/>
  </si>
  <si>
    <t>補助労務賃金</t>
    <rPh sb="0" eb="2">
      <t>ホジョ</t>
    </rPh>
    <rPh sb="2" eb="4">
      <t>ロウム</t>
    </rPh>
    <rPh sb="4" eb="6">
      <t>チンギン</t>
    </rPh>
    <phoneticPr fontId="4"/>
  </si>
  <si>
    <t>法定福利費　等</t>
  </si>
  <si>
    <t>法定福利費　等</t>
    <phoneticPr fontId="4"/>
  </si>
  <si>
    <t>給料手当</t>
    <rPh sb="0" eb="2">
      <t>キュウリョウ</t>
    </rPh>
    <rPh sb="2" eb="4">
      <t>テアテ</t>
    </rPh>
    <phoneticPr fontId="4"/>
  </si>
  <si>
    <t>価格補てん金</t>
    <rPh sb="0" eb="2">
      <t>カカク</t>
    </rPh>
    <rPh sb="2" eb="3">
      <t>ホ</t>
    </rPh>
    <rPh sb="5" eb="6">
      <t>キン</t>
    </rPh>
    <phoneticPr fontId="4"/>
  </si>
  <si>
    <t>助成金・補助金・交付金</t>
    <rPh sb="0" eb="3">
      <t>ジョセイキン</t>
    </rPh>
    <rPh sb="4" eb="7">
      <t>ホジョキン</t>
    </rPh>
    <rPh sb="8" eb="11">
      <t>コウフキン</t>
    </rPh>
    <phoneticPr fontId="4"/>
  </si>
  <si>
    <t>共済掛金　等</t>
    <rPh sb="0" eb="2">
      <t>キョウサイ</t>
    </rPh>
    <rPh sb="2" eb="4">
      <t>カケキン</t>
    </rPh>
    <rPh sb="5" eb="6">
      <t>ナド</t>
    </rPh>
    <phoneticPr fontId="4"/>
  </si>
  <si>
    <t>旬　別　計</t>
    <phoneticPr fontId="4"/>
  </si>
  <si>
    <t>月　  　計</t>
    <phoneticPr fontId="4"/>
  </si>
  <si>
    <t>５－１　作業別・旬別作業時間（水稲，1ha当たり）</t>
    <rPh sb="15" eb="17">
      <t>スイトウ</t>
    </rPh>
    <phoneticPr fontId="4"/>
  </si>
  <si>
    <t>形式・構造　等</t>
    <rPh sb="6" eb="7">
      <t>ナド</t>
    </rPh>
    <phoneticPr fontId="4"/>
  </si>
  <si>
    <t>取得価格</t>
    <rPh sb="0" eb="2">
      <t>シュトク</t>
    </rPh>
    <rPh sb="2" eb="4">
      <t>カカク</t>
    </rPh>
    <phoneticPr fontId="4"/>
  </si>
  <si>
    <t>補助率</t>
    <rPh sb="0" eb="3">
      <t>ホジョリツ</t>
    </rPh>
    <phoneticPr fontId="4"/>
  </si>
  <si>
    <t>残存割合</t>
    <rPh sb="0" eb="2">
      <t>ザンゾン</t>
    </rPh>
    <rPh sb="2" eb="4">
      <t>ワリアイ</t>
    </rPh>
    <phoneticPr fontId="4"/>
  </si>
  <si>
    <t>大動植物</t>
    <rPh sb="0" eb="1">
      <t>ダイ</t>
    </rPh>
    <rPh sb="1" eb="4">
      <t>ドウショクブツ</t>
    </rPh>
    <phoneticPr fontId="4"/>
  </si>
  <si>
    <t>③=①×（100-②）（円）</t>
    <rPh sb="12" eb="13">
      <t>エン</t>
    </rPh>
    <phoneticPr fontId="4"/>
  </si>
  <si>
    <t>⑦＝⑤×⑥（円/ha）</t>
    <rPh sb="6" eb="7">
      <t>エン</t>
    </rPh>
    <phoneticPr fontId="4"/>
  </si>
  <si>
    <t>展着剤・調整剤　等</t>
    <rPh sb="0" eb="3">
      <t>テンチャクザイ</t>
    </rPh>
    <rPh sb="4" eb="7">
      <t>チョウセイザイ</t>
    </rPh>
    <rPh sb="8" eb="9">
      <t>ナド</t>
    </rPh>
    <phoneticPr fontId="4"/>
  </si>
  <si>
    <t>農薬名</t>
  </si>
  <si>
    <t>使用量</t>
    <rPh sb="2" eb="3">
      <t>リョウ</t>
    </rPh>
    <phoneticPr fontId="4"/>
  </si>
  <si>
    <t>単位</t>
  </si>
  <si>
    <t>金額</t>
  </si>
  <si>
    <t xml:space="preserve"> 燃料消費量</t>
  </si>
  <si>
    <t>利用時間</t>
  </si>
  <si>
    <t>　小　計</t>
  </si>
  <si>
    <t>小　計</t>
  </si>
  <si>
    <t>本</t>
  </si>
  <si>
    <t>小計</t>
  </si>
  <si>
    <t>（ア）種苗名</t>
    <rPh sb="3" eb="5">
      <t>シュビョウ</t>
    </rPh>
    <rPh sb="5" eb="6">
      <t>メイ</t>
    </rPh>
    <phoneticPr fontId="4"/>
  </si>
  <si>
    <t>（イ）肥料名</t>
    <phoneticPr fontId="4"/>
  </si>
  <si>
    <t>（ウ）農薬名</t>
    <phoneticPr fontId="4"/>
  </si>
  <si>
    <t>（エ）燃料名</t>
    <phoneticPr fontId="4"/>
  </si>
  <si>
    <t>生産雑費</t>
    <rPh sb="0" eb="2">
      <t>セイサン</t>
    </rPh>
    <rPh sb="2" eb="4">
      <t>ザッピ</t>
    </rPh>
    <phoneticPr fontId="4"/>
  </si>
  <si>
    <t>土づくり資材</t>
    <rPh sb="0" eb="1">
      <t>ツチ</t>
    </rPh>
    <rPh sb="4" eb="6">
      <t>シザイ</t>
    </rPh>
    <phoneticPr fontId="4"/>
  </si>
  <si>
    <t>化成肥料</t>
    <rPh sb="0" eb="2">
      <t>カセイ</t>
    </rPh>
    <rPh sb="2" eb="4">
      <t>ヒリョウ</t>
    </rPh>
    <phoneticPr fontId="4"/>
  </si>
  <si>
    <t>有機物資材</t>
    <rPh sb="0" eb="3">
      <t>ユウキブツ</t>
    </rPh>
    <rPh sb="3" eb="5">
      <t>シザイ</t>
    </rPh>
    <phoneticPr fontId="4"/>
  </si>
  <si>
    <t>液肥</t>
    <rPh sb="0" eb="2">
      <t>エキヒ</t>
    </rPh>
    <phoneticPr fontId="4"/>
  </si>
  <si>
    <t>その他</t>
    <rPh sb="2" eb="3">
      <t>タ</t>
    </rPh>
    <phoneticPr fontId="4"/>
  </si>
  <si>
    <t>殺虫剤</t>
    <rPh sb="1" eb="2">
      <t>ムシ</t>
    </rPh>
    <rPh sb="2" eb="3">
      <t>ザイ</t>
    </rPh>
    <phoneticPr fontId="4"/>
  </si>
  <si>
    <t>展着剤等</t>
    <rPh sb="0" eb="3">
      <t>テンチャクザイ</t>
    </rPh>
    <rPh sb="3" eb="4">
      <t>トウ</t>
    </rPh>
    <phoneticPr fontId="4"/>
  </si>
  <si>
    <t>肥料名</t>
    <rPh sb="0" eb="2">
      <t>ヒリョウ</t>
    </rPh>
    <rPh sb="2" eb="3">
      <t>メイ</t>
    </rPh>
    <phoneticPr fontId="4"/>
  </si>
  <si>
    <t>1ha機械</t>
    <phoneticPr fontId="4"/>
  </si>
  <si>
    <t>電気</t>
    <rPh sb="0" eb="2">
      <t>デンキ</t>
    </rPh>
    <phoneticPr fontId="4"/>
  </si>
  <si>
    <t>軽油</t>
    <rPh sb="0" eb="2">
      <t>ケイユ</t>
    </rPh>
    <phoneticPr fontId="4"/>
  </si>
  <si>
    <t>作業名（使用機械）</t>
    <rPh sb="0" eb="2">
      <t>サギョウ</t>
    </rPh>
    <rPh sb="2" eb="3">
      <t>メイ</t>
    </rPh>
    <rPh sb="4" eb="6">
      <t>シヨウ</t>
    </rPh>
    <rPh sb="6" eb="8">
      <t>キカイ</t>
    </rPh>
    <phoneticPr fontId="4"/>
  </si>
  <si>
    <t>混合</t>
    <rPh sb="0" eb="2">
      <t>コンゴウ</t>
    </rPh>
    <phoneticPr fontId="4"/>
  </si>
  <si>
    <t>灯油</t>
    <rPh sb="0" eb="2">
      <t>トウユ</t>
    </rPh>
    <phoneticPr fontId="4"/>
  </si>
  <si>
    <t>資材名</t>
    <rPh sb="0" eb="2">
      <t>シザイ</t>
    </rPh>
    <rPh sb="2" eb="3">
      <t>メイ</t>
    </rPh>
    <phoneticPr fontId="4"/>
  </si>
  <si>
    <t>使用量</t>
    <rPh sb="0" eb="3">
      <t>シヨウリョウ</t>
    </rPh>
    <phoneticPr fontId="4"/>
  </si>
  <si>
    <t>単位</t>
    <rPh sb="0" eb="2">
      <t>タンイ</t>
    </rPh>
    <phoneticPr fontId="4"/>
  </si>
  <si>
    <t>使用期間（年）</t>
    <rPh sb="0" eb="2">
      <t>シヨウ</t>
    </rPh>
    <rPh sb="2" eb="4">
      <t>キカン</t>
    </rPh>
    <rPh sb="5" eb="6">
      <t>ネン</t>
    </rPh>
    <phoneticPr fontId="4"/>
  </si>
  <si>
    <t>金額（1年あたり）</t>
    <rPh sb="4" eb="5">
      <t>ネン</t>
    </rPh>
    <phoneticPr fontId="4"/>
  </si>
  <si>
    <t>枚</t>
    <rPh sb="0" eb="1">
      <t>マイ</t>
    </rPh>
    <phoneticPr fontId="4"/>
  </si>
  <si>
    <t>農具名</t>
    <rPh sb="0" eb="2">
      <t>ノウグ</t>
    </rPh>
    <rPh sb="2" eb="3">
      <t>メイ</t>
    </rPh>
    <phoneticPr fontId="4"/>
  </si>
  <si>
    <t>負担面積（ha）</t>
    <rPh sb="0" eb="2">
      <t>フタン</t>
    </rPh>
    <rPh sb="2" eb="4">
      <t>メンセキ</t>
    </rPh>
    <phoneticPr fontId="4"/>
  </si>
  <si>
    <t>建物・施設</t>
    <rPh sb="0" eb="2">
      <t>タテモノ</t>
    </rPh>
    <rPh sb="3" eb="5">
      <t>シセツ</t>
    </rPh>
    <phoneticPr fontId="4"/>
  </si>
  <si>
    <t>機械・器具</t>
    <rPh sb="0" eb="2">
      <t>キカイ</t>
    </rPh>
    <rPh sb="3" eb="5">
      <t>キグ</t>
    </rPh>
    <phoneticPr fontId="4"/>
  </si>
  <si>
    <t>右表（粗収益の算出基礎）</t>
    <rPh sb="0" eb="1">
      <t>ミギ</t>
    </rPh>
    <rPh sb="1" eb="2">
      <t>ヒョウ</t>
    </rPh>
    <rPh sb="3" eb="4">
      <t>ソ</t>
    </rPh>
    <rPh sb="4" eb="6">
      <t>シュウエキ</t>
    </rPh>
    <rPh sb="7" eb="9">
      <t>サンシュツ</t>
    </rPh>
    <rPh sb="9" eb="11">
      <t>キソ</t>
    </rPh>
    <phoneticPr fontId="4"/>
  </si>
  <si>
    <t>右表（ア）</t>
    <phoneticPr fontId="4"/>
  </si>
  <si>
    <t>負担価格の</t>
    <phoneticPr fontId="4"/>
  </si>
  <si>
    <t>販売費・
一般管理費</t>
    <rPh sb="0" eb="3">
      <t>ハンバイヒ</t>
    </rPh>
    <rPh sb="5" eb="7">
      <t>イッパン</t>
    </rPh>
    <rPh sb="7" eb="10">
      <t>カンリヒ</t>
    </rPh>
    <phoneticPr fontId="4"/>
  </si>
  <si>
    <t>※６　資本装備・償却費シート参照</t>
    <rPh sb="3" eb="5">
      <t>シホン</t>
    </rPh>
    <rPh sb="5" eb="7">
      <t>ソウビ</t>
    </rPh>
    <rPh sb="8" eb="10">
      <t>ショウキャク</t>
    </rPh>
    <rPh sb="10" eb="11">
      <t>ヒ</t>
    </rPh>
    <rPh sb="14" eb="16">
      <t>サンショウ</t>
    </rPh>
    <phoneticPr fontId="4"/>
  </si>
  <si>
    <t>※４　経営収支に記載</t>
    <rPh sb="3" eb="5">
      <t>ケイエイ</t>
    </rPh>
    <rPh sb="5" eb="7">
      <t>シュウシ</t>
    </rPh>
    <rPh sb="8" eb="10">
      <t>キサイ</t>
    </rPh>
    <phoneticPr fontId="4"/>
  </si>
  <si>
    <t>売上高　計　①</t>
    <rPh sb="0" eb="2">
      <t>ウリアゲ</t>
    </rPh>
    <rPh sb="2" eb="3">
      <t>ダカ</t>
    </rPh>
    <rPh sb="4" eb="5">
      <t>ケイ</t>
    </rPh>
    <phoneticPr fontId="4"/>
  </si>
  <si>
    <t>売上総利益　③=①-②</t>
    <rPh sb="0" eb="2">
      <t>ウリアゲ</t>
    </rPh>
    <rPh sb="2" eb="5">
      <t>ソウリエキ</t>
    </rPh>
    <phoneticPr fontId="4"/>
  </si>
  <si>
    <t>販売費・一般管理費　計　④</t>
    <rPh sb="0" eb="3">
      <t>ハンバイヒ</t>
    </rPh>
    <rPh sb="4" eb="6">
      <t>イッパン</t>
    </rPh>
    <rPh sb="6" eb="9">
      <t>カンリヒ</t>
    </rPh>
    <rPh sb="10" eb="11">
      <t>ケイ</t>
    </rPh>
    <phoneticPr fontId="4"/>
  </si>
  <si>
    <t>売上原価</t>
    <rPh sb="0" eb="2">
      <t>ウリアゲ</t>
    </rPh>
    <rPh sb="2" eb="4">
      <t>ゲンカ</t>
    </rPh>
    <phoneticPr fontId="4"/>
  </si>
  <si>
    <t>売上原価　計　②</t>
    <rPh sb="0" eb="2">
      <t>ウリアゲ</t>
    </rPh>
    <rPh sb="2" eb="4">
      <t>ゲンカ</t>
    </rPh>
    <rPh sb="5" eb="6">
      <t>ケイ</t>
    </rPh>
    <phoneticPr fontId="4"/>
  </si>
  <si>
    <t>営業利益　⑤=③-④　</t>
    <rPh sb="0" eb="2">
      <t>エイギョウ</t>
    </rPh>
    <rPh sb="2" eb="4">
      <t>リエキ</t>
    </rPh>
    <phoneticPr fontId="4"/>
  </si>
  <si>
    <t>営業外収益　⑥</t>
    <rPh sb="0" eb="3">
      <t>エイギョウガイ</t>
    </rPh>
    <rPh sb="3" eb="5">
      <t>シュウエキ</t>
    </rPh>
    <phoneticPr fontId="4"/>
  </si>
  <si>
    <t>営業外費用　⑦</t>
    <phoneticPr fontId="4"/>
  </si>
  <si>
    <t>営業外損益　計　⑧=⑥-⑦</t>
    <rPh sb="0" eb="3">
      <t>エイギョウガイ</t>
    </rPh>
    <rPh sb="3" eb="5">
      <t>ソンエキ</t>
    </rPh>
    <rPh sb="6" eb="7">
      <t>ケイ</t>
    </rPh>
    <phoneticPr fontId="4"/>
  </si>
  <si>
    <t>経常利益　⑨=⑤+⑧</t>
    <rPh sb="0" eb="2">
      <t>ケイジョウ</t>
    </rPh>
    <rPh sb="2" eb="4">
      <t>リエキ</t>
    </rPh>
    <phoneticPr fontId="4"/>
  </si>
  <si>
    <t>販売費・一般管理費　計</t>
    <rPh sb="0" eb="3">
      <t>ハンバイヒ</t>
    </rPh>
    <rPh sb="4" eb="6">
      <t>イッパン</t>
    </rPh>
    <rPh sb="6" eb="9">
      <t>カンリヒ</t>
    </rPh>
    <rPh sb="10" eb="11">
      <t>ケイ</t>
    </rPh>
    <phoneticPr fontId="4"/>
  </si>
  <si>
    <t>売上原価　計</t>
    <phoneticPr fontId="4"/>
  </si>
  <si>
    <t>販売収入</t>
    <rPh sb="0" eb="2">
      <t>ハンバイ</t>
    </rPh>
    <rPh sb="2" eb="4">
      <t>シュウニュウ</t>
    </rPh>
    <phoneticPr fontId="4"/>
  </si>
  <si>
    <t>営業外
費用</t>
    <phoneticPr fontId="4"/>
  </si>
  <si>
    <t>営業外</t>
    <rPh sb="0" eb="3">
      <t>エイギョウガイ</t>
    </rPh>
    <phoneticPr fontId="4"/>
  </si>
  <si>
    <t>（１）肥料費</t>
    <rPh sb="3" eb="5">
      <t>ヒリョウ</t>
    </rPh>
    <rPh sb="5" eb="6">
      <t>ヒ</t>
    </rPh>
    <phoneticPr fontId="4"/>
  </si>
  <si>
    <t>（３）動力光熱費</t>
    <rPh sb="3" eb="5">
      <t>ドウリョク</t>
    </rPh>
    <rPh sb="5" eb="8">
      <t>コウネツヒ</t>
    </rPh>
    <phoneticPr fontId="4"/>
  </si>
  <si>
    <t>農　　　　業　　　　経　　　　営　　　　費</t>
    <rPh sb="0" eb="1">
      <t>ノウ</t>
    </rPh>
    <rPh sb="5" eb="6">
      <t>ギョウ</t>
    </rPh>
    <rPh sb="10" eb="11">
      <t>ヘ</t>
    </rPh>
    <rPh sb="15" eb="16">
      <t>エイ</t>
    </rPh>
    <rPh sb="20" eb="21">
      <t>ヒ</t>
    </rPh>
    <phoneticPr fontId="4"/>
  </si>
  <si>
    <t>費　　　　用　　　　の　　　　算　　　　出</t>
    <rPh sb="0" eb="1">
      <t>ヒ</t>
    </rPh>
    <rPh sb="5" eb="6">
      <t>ヨウ</t>
    </rPh>
    <rPh sb="15" eb="16">
      <t>サン</t>
    </rPh>
    <rPh sb="20" eb="21">
      <t>デ</t>
    </rPh>
    <phoneticPr fontId="4"/>
  </si>
  <si>
    <t>粗　　　収　　　益　　　の　　　算　　　出</t>
    <phoneticPr fontId="4"/>
  </si>
  <si>
    <t>売上原価の</t>
    <rPh sb="0" eb="2">
      <t>ウリアゲ</t>
    </rPh>
    <rPh sb="2" eb="4">
      <t>ゲンカ</t>
    </rPh>
    <phoneticPr fontId="4"/>
  </si>
  <si>
    <t>水稲共済</t>
    <rPh sb="0" eb="2">
      <t>スイトウ</t>
    </rPh>
    <rPh sb="2" eb="4">
      <t>キョウサイ</t>
    </rPh>
    <phoneticPr fontId="4"/>
  </si>
  <si>
    <t>区　分</t>
    <rPh sb="0" eb="1">
      <t>ク</t>
    </rPh>
    <rPh sb="2" eb="3">
      <t>ブン</t>
    </rPh>
    <phoneticPr fontId="5"/>
  </si>
  <si>
    <t>畑</t>
    <rPh sb="0" eb="1">
      <t>ハタケ</t>
    </rPh>
    <phoneticPr fontId="4"/>
  </si>
  <si>
    <t>区分</t>
    <rPh sb="0" eb="1">
      <t>ク</t>
    </rPh>
    <rPh sb="1" eb="2">
      <t>ブン</t>
    </rPh>
    <phoneticPr fontId="5"/>
  </si>
  <si>
    <t>取得価格・評価額・負担額</t>
    <rPh sb="0" eb="2">
      <t>シュトク</t>
    </rPh>
    <rPh sb="2" eb="4">
      <t>カカク</t>
    </rPh>
    <rPh sb="5" eb="7">
      <t>ヒョウカ</t>
    </rPh>
    <rPh sb="7" eb="8">
      <t>ガク</t>
    </rPh>
    <rPh sb="9" eb="11">
      <t>フタン</t>
    </rPh>
    <rPh sb="11" eb="12">
      <t>ガク</t>
    </rPh>
    <phoneticPr fontId="5"/>
  </si>
  <si>
    <t>自動車重量税</t>
    <rPh sb="0" eb="3">
      <t>ジドウシャ</t>
    </rPh>
    <rPh sb="3" eb="6">
      <t>ジュウリョウゼイ</t>
    </rPh>
    <phoneticPr fontId="5"/>
  </si>
  <si>
    <t>自動車税</t>
    <rPh sb="0" eb="3">
      <t>ジドウシャ</t>
    </rPh>
    <rPh sb="3" eb="4">
      <t>ゼイ</t>
    </rPh>
    <phoneticPr fontId="5"/>
  </si>
  <si>
    <t>軽自動車税</t>
    <rPh sb="0" eb="1">
      <t>ケイ</t>
    </rPh>
    <rPh sb="1" eb="5">
      <t>ジドウシャゼイ</t>
    </rPh>
    <phoneticPr fontId="5"/>
  </si>
  <si>
    <t>合　　計</t>
    <rPh sb="0" eb="1">
      <t>ア</t>
    </rPh>
    <rPh sb="3" eb="4">
      <t>ケイ</t>
    </rPh>
    <phoneticPr fontId="4"/>
  </si>
  <si>
    <t>（７）共済掛金　等</t>
    <rPh sb="3" eb="5">
      <t>キョウサイ</t>
    </rPh>
    <rPh sb="5" eb="7">
      <t>カケキン</t>
    </rPh>
    <rPh sb="8" eb="9">
      <t>ナド</t>
    </rPh>
    <phoneticPr fontId="5"/>
  </si>
  <si>
    <t>内　容</t>
    <rPh sb="0" eb="1">
      <t>ウチ</t>
    </rPh>
    <rPh sb="2" eb="3">
      <t>カタチ</t>
    </rPh>
    <phoneticPr fontId="5"/>
  </si>
  <si>
    <t>共済掛金</t>
    <rPh sb="0" eb="2">
      <t>キョウサイ</t>
    </rPh>
    <rPh sb="2" eb="4">
      <t>カケキン</t>
    </rPh>
    <phoneticPr fontId="5"/>
  </si>
  <si>
    <t>負担率</t>
    <rPh sb="0" eb="2">
      <t>フタン</t>
    </rPh>
    <rPh sb="2" eb="3">
      <t>リツ</t>
    </rPh>
    <phoneticPr fontId="5"/>
  </si>
  <si>
    <t>評価額・負担額</t>
    <rPh sb="0" eb="3">
      <t>ヒョウカガク</t>
    </rPh>
    <rPh sb="4" eb="6">
      <t>フタン</t>
    </rPh>
    <rPh sb="6" eb="7">
      <t>ガク</t>
    </rPh>
    <phoneticPr fontId="5"/>
  </si>
  <si>
    <t>小計</t>
    <rPh sb="0" eb="2">
      <t>ショウケイ</t>
    </rPh>
    <phoneticPr fontId="5"/>
  </si>
  <si>
    <t>（４）租税公課</t>
    <rPh sb="3" eb="5">
      <t>ソゼイ</t>
    </rPh>
    <rPh sb="5" eb="7">
      <t>コウカ</t>
    </rPh>
    <phoneticPr fontId="5"/>
  </si>
  <si>
    <t>（５）諸材料費（使用可能期間を想定して算出）</t>
    <rPh sb="3" eb="4">
      <t>ショ</t>
    </rPh>
    <rPh sb="4" eb="7">
      <t>ザイリョウヒ</t>
    </rPh>
    <rPh sb="8" eb="10">
      <t>シヨウ</t>
    </rPh>
    <rPh sb="10" eb="12">
      <t>カノウ</t>
    </rPh>
    <rPh sb="12" eb="14">
      <t>キカン</t>
    </rPh>
    <rPh sb="15" eb="17">
      <t>ソウテイ</t>
    </rPh>
    <rPh sb="19" eb="21">
      <t>サンシュツ</t>
    </rPh>
    <phoneticPr fontId="4"/>
  </si>
  <si>
    <t>（６）小農具費（使用可能期間を想定して算出）</t>
    <rPh sb="3" eb="6">
      <t>ショウノウグ</t>
    </rPh>
    <rPh sb="6" eb="7">
      <t>ヒ</t>
    </rPh>
    <phoneticPr fontId="4"/>
  </si>
  <si>
    <t>軽トラック</t>
    <rPh sb="0" eb="1">
      <t>ケイ</t>
    </rPh>
    <phoneticPr fontId="4"/>
  </si>
  <si>
    <t>保険料</t>
    <rPh sb="0" eb="3">
      <t>ホケンリョウ</t>
    </rPh>
    <phoneticPr fontId="4"/>
  </si>
  <si>
    <t>金額</t>
    <phoneticPr fontId="4"/>
  </si>
  <si>
    <t>普通トラック</t>
    <phoneticPr fontId="4"/>
  </si>
  <si>
    <t>自賠責保険</t>
    <rPh sb="0" eb="3">
      <t>ジバイセキ</t>
    </rPh>
    <rPh sb="3" eb="5">
      <t>ホケン</t>
    </rPh>
    <phoneticPr fontId="4"/>
  </si>
  <si>
    <t>普通トラック</t>
    <rPh sb="0" eb="2">
      <t>フツウ</t>
    </rPh>
    <phoneticPr fontId="4"/>
  </si>
  <si>
    <t>任意保険</t>
    <rPh sb="0" eb="2">
      <t>ニンイ</t>
    </rPh>
    <rPh sb="2" eb="4">
      <t>ホケン</t>
    </rPh>
    <phoneticPr fontId="4"/>
  </si>
  <si>
    <t>毎年更新</t>
    <rPh sb="0" eb="2">
      <t>マイトシ</t>
    </rPh>
    <rPh sb="2" eb="4">
      <t>コウシン</t>
    </rPh>
    <phoneticPr fontId="4"/>
  </si>
  <si>
    <t>作目：</t>
  </si>
  <si>
    <t>作型：</t>
  </si>
  <si>
    <t>普通</t>
    <rPh sb="0" eb="2">
      <t>フツウ</t>
    </rPh>
    <phoneticPr fontId="4"/>
  </si>
  <si>
    <t>６　固定資本装備と減価償却費（1ha当たり・1年当たり）</t>
    <rPh sb="18" eb="19">
      <t>ア</t>
    </rPh>
    <rPh sb="23" eb="24">
      <t>ネン</t>
    </rPh>
    <rPh sb="24" eb="25">
      <t>ア</t>
    </rPh>
    <phoneticPr fontId="4"/>
  </si>
  <si>
    <t>数量</t>
    <phoneticPr fontId="4"/>
  </si>
  <si>
    <t>販売量</t>
    <phoneticPr fontId="4"/>
  </si>
  <si>
    <t>販売量</t>
    <phoneticPr fontId="4"/>
  </si>
  <si>
    <t>月</t>
    <rPh sb="0" eb="1">
      <t>ツキ</t>
    </rPh>
    <phoneticPr fontId="4"/>
  </si>
  <si>
    <t>重油</t>
    <rPh sb="0" eb="2">
      <t>ジュウユ</t>
    </rPh>
    <phoneticPr fontId="4"/>
  </si>
  <si>
    <t>重油</t>
    <rPh sb="0" eb="2">
      <t>ジュウユ</t>
    </rPh>
    <phoneticPr fontId="4"/>
  </si>
  <si>
    <t>労務費Ⅰ</t>
    <rPh sb="0" eb="3">
      <t>ロウムヒ</t>
    </rPh>
    <phoneticPr fontId="4"/>
  </si>
  <si>
    <t>労務費Ⅱ</t>
    <rPh sb="0" eb="3">
      <t>ロウムヒ</t>
    </rPh>
    <phoneticPr fontId="4"/>
  </si>
  <si>
    <t>営業外費用Ⅰ</t>
    <rPh sb="0" eb="3">
      <t>エイギョウガイ</t>
    </rPh>
    <rPh sb="3" eb="5">
      <t>ヒヨウ</t>
    </rPh>
    <phoneticPr fontId="4"/>
  </si>
  <si>
    <t>備　　　　　　　　　　　　　　　　　　　　考</t>
    <rPh sb="0" eb="1">
      <t>ソナエ</t>
    </rPh>
    <rPh sb="21" eb="22">
      <t>コウ</t>
    </rPh>
    <phoneticPr fontId="4"/>
  </si>
  <si>
    <t>区　　　　　　　　　　　　　　　　　　　　分</t>
    <rPh sb="0" eb="1">
      <t>ク</t>
    </rPh>
    <rPh sb="21" eb="22">
      <t>ブン</t>
    </rPh>
    <phoneticPr fontId="4"/>
  </si>
  <si>
    <t>合　　　　計</t>
    <rPh sb="0" eb="1">
      <t>ア</t>
    </rPh>
    <rPh sb="5" eb="6">
      <t>ケイ</t>
    </rPh>
    <phoneticPr fontId="4"/>
  </si>
  <si>
    <t>月別平均価格の推移</t>
  </si>
  <si>
    <t>　　　　　　　　　　　　　　　　　　　　　月
　　　年</t>
    <rPh sb="21" eb="22">
      <t>ツキ</t>
    </rPh>
    <rPh sb="26" eb="27">
      <t>ネン</t>
    </rPh>
    <phoneticPr fontId="4"/>
  </si>
  <si>
    <t>平均</t>
  </si>
  <si>
    <t>平　　均</t>
  </si>
  <si>
    <t>（広島県産）</t>
    <rPh sb="1" eb="5">
      <t>ヒロシマケンサン</t>
    </rPh>
    <phoneticPr fontId="4"/>
  </si>
  <si>
    <t>ℓ・kw／時</t>
    <rPh sb="5" eb="6">
      <t>ジ</t>
    </rPh>
    <phoneticPr fontId="4"/>
  </si>
  <si>
    <t>アスパラガス</t>
    <phoneticPr fontId="4"/>
  </si>
  <si>
    <t>アスパラガス</t>
    <phoneticPr fontId="4"/>
  </si>
  <si>
    <t>（全産地）</t>
    <phoneticPr fontId="4"/>
  </si>
  <si>
    <t>平成２１年</t>
    <phoneticPr fontId="4"/>
  </si>
  <si>
    <t>平成２２年</t>
    <phoneticPr fontId="4"/>
  </si>
  <si>
    <t>平成２３年</t>
    <phoneticPr fontId="4"/>
  </si>
  <si>
    <t>平成２４年</t>
    <phoneticPr fontId="4"/>
  </si>
  <si>
    <t>平成２５年</t>
    <phoneticPr fontId="4"/>
  </si>
  <si>
    <t>単価</t>
    <phoneticPr fontId="4"/>
  </si>
  <si>
    <t>t</t>
    <phoneticPr fontId="4"/>
  </si>
  <si>
    <t>フラワーネット</t>
    <phoneticPr fontId="4"/>
  </si>
  <si>
    <t>ハリコード</t>
    <phoneticPr fontId="4"/>
  </si>
  <si>
    <t>個</t>
    <phoneticPr fontId="4"/>
  </si>
  <si>
    <t>支柱</t>
    <rPh sb="0" eb="2">
      <t>シチュウ</t>
    </rPh>
    <phoneticPr fontId="4"/>
  </si>
  <si>
    <t>本</t>
    <phoneticPr fontId="4"/>
  </si>
  <si>
    <t>ダブルユニバーサル</t>
    <phoneticPr fontId="4"/>
  </si>
  <si>
    <t>袋</t>
    <rPh sb="0" eb="1">
      <t>フクロ</t>
    </rPh>
    <phoneticPr fontId="4"/>
  </si>
  <si>
    <t>小　計</t>
    <phoneticPr fontId="4"/>
  </si>
  <si>
    <t>ガソリン</t>
    <phoneticPr fontId="4"/>
  </si>
  <si>
    <t>防除機</t>
    <rPh sb="0" eb="2">
      <t>ボウジョ</t>
    </rPh>
    <rPh sb="2" eb="3">
      <t>キ</t>
    </rPh>
    <phoneticPr fontId="4"/>
  </si>
  <si>
    <t>袋</t>
    <phoneticPr fontId="4"/>
  </si>
  <si>
    <t>小　計</t>
    <phoneticPr fontId="4"/>
  </si>
  <si>
    <t>畦焼き</t>
    <rPh sb="0" eb="1">
      <t>ウネ</t>
    </rPh>
    <rPh sb="1" eb="2">
      <t>ヤ</t>
    </rPh>
    <phoneticPr fontId="4"/>
  </si>
  <si>
    <t>小　計</t>
    <phoneticPr fontId="4"/>
  </si>
  <si>
    <t>はさみ</t>
    <phoneticPr fontId="4"/>
  </si>
  <si>
    <t>個</t>
    <rPh sb="0" eb="1">
      <t>コ</t>
    </rPh>
    <phoneticPr fontId="4"/>
  </si>
  <si>
    <t>収穫台車</t>
    <rPh sb="0" eb="2">
      <t>シュウカク</t>
    </rPh>
    <rPh sb="2" eb="4">
      <t>ダイシャ</t>
    </rPh>
    <phoneticPr fontId="4"/>
  </si>
  <si>
    <t>（２）農薬費</t>
    <phoneticPr fontId="4"/>
  </si>
  <si>
    <t>小　計</t>
    <phoneticPr fontId="4"/>
  </si>
  <si>
    <t>小　計</t>
    <phoneticPr fontId="4"/>
  </si>
  <si>
    <t>金額</t>
    <phoneticPr fontId="4"/>
  </si>
  <si>
    <t>８－２　経費の算出基礎（ハウスアスパラガス，1ha当たり）</t>
    <rPh sb="4" eb="6">
      <t>ケイヒ</t>
    </rPh>
    <rPh sb="7" eb="9">
      <t>サンシュツ</t>
    </rPh>
    <rPh sb="9" eb="11">
      <t>キソ</t>
    </rPh>
    <rPh sb="25" eb="26">
      <t>ア</t>
    </rPh>
    <phoneticPr fontId="4"/>
  </si>
  <si>
    <t>1種類</t>
    <phoneticPr fontId="4"/>
  </si>
  <si>
    <t>2種類</t>
    <phoneticPr fontId="4"/>
  </si>
  <si>
    <t>1作業</t>
    <rPh sb="1" eb="3">
      <t>サギョウ</t>
    </rPh>
    <phoneticPr fontId="4"/>
  </si>
  <si>
    <t>5種類</t>
    <phoneticPr fontId="4"/>
  </si>
  <si>
    <t>4種類</t>
    <phoneticPr fontId="4"/>
  </si>
  <si>
    <t>3種類</t>
    <phoneticPr fontId="4"/>
  </si>
  <si>
    <t>1種類</t>
    <phoneticPr fontId="4"/>
  </si>
  <si>
    <t>2種類</t>
    <phoneticPr fontId="4"/>
  </si>
  <si>
    <t>アスパラガス</t>
    <phoneticPr fontId="4"/>
  </si>
  <si>
    <t>20円/kg</t>
    <rPh sb="2" eb="3">
      <t>エン</t>
    </rPh>
    <phoneticPr fontId="4"/>
  </si>
  <si>
    <t>選果料174.85円/kg</t>
    <rPh sb="0" eb="1">
      <t>セン</t>
    </rPh>
    <rPh sb="1" eb="2">
      <t>カ</t>
    </rPh>
    <rPh sb="2" eb="3">
      <t>リョウ</t>
    </rPh>
    <rPh sb="9" eb="10">
      <t>エン</t>
    </rPh>
    <phoneticPr fontId="4"/>
  </si>
  <si>
    <t>5種類</t>
    <phoneticPr fontId="4"/>
  </si>
  <si>
    <t>6種類</t>
    <phoneticPr fontId="4"/>
  </si>
  <si>
    <t>※８－２　ハウスアスパラガス算出基礎シート参照</t>
    <rPh sb="14" eb="16">
      <t>サンシュツ</t>
    </rPh>
    <rPh sb="16" eb="18">
      <t>キソ</t>
    </rPh>
    <rPh sb="21" eb="23">
      <t>サンショウ</t>
    </rPh>
    <phoneticPr fontId="4"/>
  </si>
  <si>
    <t>右表（イ）　※８－２　ハウスアスパラガス算出基礎シート参照</t>
    <phoneticPr fontId="4"/>
  </si>
  <si>
    <t>右表（ウ）　※８－２　ハウスアスパラガス算出基礎シート参照</t>
    <phoneticPr fontId="4"/>
  </si>
  <si>
    <t>右表（エ）　※８－２　ハウスアスパラガス算出基礎シート参照</t>
    <phoneticPr fontId="4"/>
  </si>
  <si>
    <t>※８－３　露地アスパラガス算出基礎シート参照</t>
    <rPh sb="5" eb="7">
      <t>ロジ</t>
    </rPh>
    <rPh sb="13" eb="15">
      <t>サンシュツ</t>
    </rPh>
    <rPh sb="15" eb="17">
      <t>キソ</t>
    </rPh>
    <rPh sb="20" eb="22">
      <t>サンショウ</t>
    </rPh>
    <phoneticPr fontId="4"/>
  </si>
  <si>
    <t>右表（イ）　※８－３　露地アスパラガス算出基礎シート参照</t>
    <rPh sb="11" eb="13">
      <t>ロジ</t>
    </rPh>
    <phoneticPr fontId="4"/>
  </si>
  <si>
    <t>右表（ウ）　※８－３　露地アスパラガス算出基礎シート参照</t>
    <phoneticPr fontId="4"/>
  </si>
  <si>
    <t>右表（エ）　※８－３　露地アスパラガス算出基礎シート参照</t>
    <phoneticPr fontId="4"/>
  </si>
  <si>
    <t>作業場</t>
  </si>
  <si>
    <t>軽量鉄骨</t>
    <rPh sb="0" eb="2">
      <t>ケイリョウ</t>
    </rPh>
    <rPh sb="2" eb="4">
      <t>テッコツ</t>
    </rPh>
    <phoneticPr fontId="1"/>
  </si>
  <si>
    <t>㎡</t>
  </si>
  <si>
    <t>潅水施設（ポンプ）</t>
    <rPh sb="0" eb="2">
      <t>カンスイ</t>
    </rPh>
    <rPh sb="2" eb="4">
      <t>シセツ</t>
    </rPh>
    <phoneticPr fontId="4"/>
  </si>
  <si>
    <t>潅水施設（配管）</t>
    <rPh sb="0" eb="2">
      <t>カンスイ</t>
    </rPh>
    <rPh sb="2" eb="4">
      <t>シセツ</t>
    </rPh>
    <rPh sb="5" eb="7">
      <t>ハイカン</t>
    </rPh>
    <phoneticPr fontId="4"/>
  </si>
  <si>
    <t>式</t>
    <rPh sb="0" eb="1">
      <t>シキ</t>
    </rPh>
    <phoneticPr fontId="4"/>
  </si>
  <si>
    <t>ハウス栽培</t>
    <rPh sb="3" eb="5">
      <t>サイバイ</t>
    </rPh>
    <phoneticPr fontId="4"/>
  </si>
  <si>
    <t>作　業　別</t>
    <phoneticPr fontId="4"/>
  </si>
  <si>
    <t>作　　　型</t>
    <phoneticPr fontId="4"/>
  </si>
  <si>
    <t>施肥</t>
    <rPh sb="0" eb="2">
      <t>セヒ</t>
    </rPh>
    <phoneticPr fontId="4"/>
  </si>
  <si>
    <t>堆肥マルチ</t>
    <rPh sb="0" eb="2">
      <t>タイヒ</t>
    </rPh>
    <phoneticPr fontId="4"/>
  </si>
  <si>
    <t>　　潅水パイプ，ネット設置</t>
    <rPh sb="2" eb="4">
      <t>カンスイ</t>
    </rPh>
    <rPh sb="11" eb="13">
      <t>セッチ</t>
    </rPh>
    <phoneticPr fontId="4"/>
  </si>
  <si>
    <t>収穫・調整</t>
    <rPh sb="0" eb="2">
      <t>シュウカク</t>
    </rPh>
    <rPh sb="3" eb="5">
      <t>チョウセイ</t>
    </rPh>
    <phoneticPr fontId="4"/>
  </si>
  <si>
    <t>除草</t>
    <rPh sb="0" eb="2">
      <t>ジョソウ</t>
    </rPh>
    <phoneticPr fontId="4"/>
  </si>
  <si>
    <t>立茎管理</t>
    <rPh sb="0" eb="1">
      <t>タ</t>
    </rPh>
    <rPh sb="1" eb="2">
      <t>クキ</t>
    </rPh>
    <rPh sb="2" eb="4">
      <t>カンリ</t>
    </rPh>
    <phoneticPr fontId="4"/>
  </si>
  <si>
    <t>潅水</t>
    <rPh sb="0" eb="2">
      <t>カンスイ</t>
    </rPh>
    <phoneticPr fontId="4"/>
  </si>
  <si>
    <t>防除</t>
    <rPh sb="0" eb="2">
      <t>ボウジョ</t>
    </rPh>
    <phoneticPr fontId="4"/>
  </si>
  <si>
    <t>親茎刈取り，撤去</t>
    <rPh sb="0" eb="1">
      <t>オヤ</t>
    </rPh>
    <rPh sb="1" eb="2">
      <t>クキ</t>
    </rPh>
    <rPh sb="2" eb="4">
      <t>カリト</t>
    </rPh>
    <rPh sb="6" eb="8">
      <t>テッキョ</t>
    </rPh>
    <phoneticPr fontId="4"/>
  </si>
  <si>
    <t>潅水パイプ，ネット撤去</t>
    <rPh sb="9" eb="11">
      <t>テッキョ</t>
    </rPh>
    <phoneticPr fontId="4"/>
  </si>
  <si>
    <t>５－２　作業別・旬別作業時間（ハウスアスパラガス，1ha当たり）</t>
    <phoneticPr fontId="4"/>
  </si>
  <si>
    <t>５－３　作業別・旬別作業時間（露地アスパラガス，1ha当たり）</t>
    <rPh sb="15" eb="17">
      <t>ロジ</t>
    </rPh>
    <phoneticPr fontId="4"/>
  </si>
  <si>
    <t>ハウスアスパラガス</t>
    <phoneticPr fontId="4"/>
  </si>
  <si>
    <t>露地アスパラガス</t>
    <rPh sb="0" eb="2">
      <t>ロジ</t>
    </rPh>
    <phoneticPr fontId="4"/>
  </si>
  <si>
    <t>収穫</t>
    <rPh sb="0" eb="2">
      <t>シュウカク</t>
    </rPh>
    <phoneticPr fontId="4"/>
  </si>
  <si>
    <t>３～４月</t>
    <rPh sb="3" eb="4">
      <t>ガツ</t>
    </rPh>
    <phoneticPr fontId="4"/>
  </si>
  <si>
    <t>３～１０月</t>
    <rPh sb="4" eb="5">
      <t>ガツ</t>
    </rPh>
    <phoneticPr fontId="4"/>
  </si>
  <si>
    <t>５～１０月</t>
    <rPh sb="4" eb="5">
      <t>ガツ</t>
    </rPh>
    <phoneticPr fontId="4"/>
  </si>
  <si>
    <t>作業場</t>
    <rPh sb="0" eb="2">
      <t>サギョウ</t>
    </rPh>
    <rPh sb="2" eb="3">
      <t>ジョウ</t>
    </rPh>
    <phoneticPr fontId="4"/>
  </si>
  <si>
    <t>灯油100ℓ</t>
    <rPh sb="0" eb="2">
      <t>トウユ</t>
    </rPh>
    <phoneticPr fontId="4"/>
  </si>
  <si>
    <t>BBアスパラ一発700 260kg</t>
    <rPh sb="6" eb="8">
      <t>イッパツ</t>
    </rPh>
    <phoneticPr fontId="4"/>
  </si>
  <si>
    <t>各種殺菌剤，殺虫剤</t>
    <rPh sb="0" eb="2">
      <t>カクシュ</t>
    </rPh>
    <rPh sb="2" eb="5">
      <t>サッキンザイ</t>
    </rPh>
    <rPh sb="6" eb="9">
      <t>サッチュウザイ</t>
    </rPh>
    <phoneticPr fontId="4"/>
  </si>
  <si>
    <t>４～１０月</t>
    <rPh sb="4" eb="5">
      <t>ガツ</t>
    </rPh>
    <phoneticPr fontId="4"/>
  </si>
  <si>
    <t>BBアスパラ一発700 240kg</t>
    <rPh sb="6" eb="8">
      <t>イッパツ</t>
    </rPh>
    <phoneticPr fontId="4"/>
  </si>
  <si>
    <t>ウェルカム</t>
    <phoneticPr fontId="3"/>
  </si>
  <si>
    <t>薬剤散布と耕種的防除により病害を防ぐ。
一発肥料の活用により省力化を図る。</t>
    <rPh sb="0" eb="2">
      <t>ヤクザイ</t>
    </rPh>
    <rPh sb="2" eb="4">
      <t>サンプ</t>
    </rPh>
    <rPh sb="5" eb="7">
      <t>コウシュ</t>
    </rPh>
    <rPh sb="7" eb="8">
      <t>テキ</t>
    </rPh>
    <rPh sb="8" eb="10">
      <t>ボウジョ</t>
    </rPh>
    <rPh sb="13" eb="15">
      <t>ビョウガイ</t>
    </rPh>
    <rPh sb="16" eb="17">
      <t>フセ</t>
    </rPh>
    <rPh sb="20" eb="22">
      <t>イッパツ</t>
    </rPh>
    <rPh sb="22" eb="24">
      <t>ヒリョウ</t>
    </rPh>
    <rPh sb="25" eb="27">
      <t>カツヨウ</t>
    </rPh>
    <rPh sb="30" eb="33">
      <t>ショウリョクカ</t>
    </rPh>
    <rPh sb="34" eb="35">
      <t>ハカ</t>
    </rPh>
    <phoneticPr fontId="3"/>
  </si>
  <si>
    <t>露地アスパラガス</t>
    <rPh sb="0" eb="2">
      <t>ロジ</t>
    </rPh>
    <phoneticPr fontId="3"/>
  </si>
  <si>
    <t>補助労務賃金（900円/時）</t>
    <phoneticPr fontId="5"/>
  </si>
  <si>
    <t>2ha</t>
    <phoneticPr fontId="4"/>
  </si>
  <si>
    <t>産地資金</t>
    <rPh sb="0" eb="2">
      <t>サンチ</t>
    </rPh>
    <rPh sb="2" eb="4">
      <t>シキン</t>
    </rPh>
    <phoneticPr fontId="4"/>
  </si>
  <si>
    <t>労務費の1.2%</t>
    <rPh sb="0" eb="3">
      <t>ロウムヒ</t>
    </rPh>
    <phoneticPr fontId="4"/>
  </si>
  <si>
    <t>ハウスアスパラガス</t>
    <phoneticPr fontId="3"/>
  </si>
  <si>
    <t>×</t>
    <phoneticPr fontId="3"/>
  </si>
  <si>
    <t>ハウスアスパラガス（１年目）</t>
    <rPh sb="11" eb="12">
      <t>ネン</t>
    </rPh>
    <rPh sb="12" eb="13">
      <t>メ</t>
    </rPh>
    <phoneticPr fontId="3"/>
  </si>
  <si>
    <t>×</t>
    <phoneticPr fontId="3"/>
  </si>
  <si>
    <t>ハウスアスパラガス（２年目～）</t>
    <rPh sb="11" eb="12">
      <t>ネン</t>
    </rPh>
    <rPh sb="12" eb="13">
      <t>メ</t>
    </rPh>
    <phoneticPr fontId="3"/>
  </si>
  <si>
    <t>水田，水源確保，排水性，日当たり良好</t>
    <rPh sb="0" eb="2">
      <t>スイデン</t>
    </rPh>
    <rPh sb="3" eb="5">
      <t>スイゲン</t>
    </rPh>
    <rPh sb="5" eb="7">
      <t>カクホ</t>
    </rPh>
    <rPh sb="8" eb="11">
      <t>ハイスイセイ</t>
    </rPh>
    <rPh sb="12" eb="14">
      <t>ヒア</t>
    </rPh>
    <rPh sb="16" eb="18">
      <t>リョウコウ</t>
    </rPh>
    <phoneticPr fontId="3"/>
  </si>
  <si>
    <t>親茎刈取り</t>
    <rPh sb="0" eb="1">
      <t>オヤ</t>
    </rPh>
    <rPh sb="1" eb="2">
      <t>クキ</t>
    </rPh>
    <rPh sb="2" eb="4">
      <t>カリト</t>
    </rPh>
    <phoneticPr fontId="4"/>
  </si>
  <si>
    <t>５～６月</t>
    <rPh sb="3" eb="4">
      <t>ガツ</t>
    </rPh>
    <phoneticPr fontId="4"/>
  </si>
  <si>
    <t>５～９月</t>
    <rPh sb="3" eb="4">
      <t>ガツ</t>
    </rPh>
    <phoneticPr fontId="4"/>
  </si>
  <si>
    <t>１２月</t>
    <rPh sb="2" eb="3">
      <t>ガツ</t>
    </rPh>
    <phoneticPr fontId="4"/>
  </si>
  <si>
    <t>作業場，軽トラック</t>
    <rPh sb="0" eb="2">
      <t>サギョウ</t>
    </rPh>
    <rPh sb="2" eb="3">
      <t>ジョウ</t>
    </rPh>
    <rPh sb="4" eb="5">
      <t>ケイ</t>
    </rPh>
    <phoneticPr fontId="4"/>
  </si>
  <si>
    <t>潅水施設</t>
    <rPh sb="0" eb="2">
      <t>カンスイ</t>
    </rPh>
    <rPh sb="2" eb="4">
      <t>シセツ</t>
    </rPh>
    <phoneticPr fontId="4"/>
  </si>
  <si>
    <t>刈払い機，トップカー</t>
    <rPh sb="0" eb="1">
      <t>カリ</t>
    </rPh>
    <rPh sb="1" eb="2">
      <t>ハラ</t>
    </rPh>
    <rPh sb="3" eb="4">
      <t>キ</t>
    </rPh>
    <phoneticPr fontId="4"/>
  </si>
  <si>
    <t>収穫はさみ，収穫台車，包丁</t>
    <rPh sb="0" eb="2">
      <t>シュウカク</t>
    </rPh>
    <rPh sb="6" eb="8">
      <t>シュウカク</t>
    </rPh>
    <rPh sb="8" eb="10">
      <t>ダイシャ</t>
    </rPh>
    <rPh sb="11" eb="13">
      <t>ホウチョウ</t>
    </rPh>
    <phoneticPr fontId="4"/>
  </si>
  <si>
    <t>収穫はさみ</t>
    <rPh sb="0" eb="2">
      <t>シュウカク</t>
    </rPh>
    <phoneticPr fontId="4"/>
  </si>
  <si>
    <t>２～１１月</t>
    <rPh sb="4" eb="5">
      <t>ガツ</t>
    </rPh>
    <phoneticPr fontId="4"/>
  </si>
  <si>
    <t>７－２　経営収支（ハウスアスパラガス部門，1ha当たり）</t>
    <rPh sb="18" eb="20">
      <t>ブモン</t>
    </rPh>
    <rPh sb="24" eb="25">
      <t>ア</t>
    </rPh>
    <phoneticPr fontId="4"/>
  </si>
  <si>
    <t>アスパラガス</t>
    <phoneticPr fontId="4"/>
  </si>
  <si>
    <t>７－３　経営収支（露地アスパラガス部門，1ha当たり）</t>
    <rPh sb="9" eb="11">
      <t>ロジ</t>
    </rPh>
    <rPh sb="17" eb="19">
      <t>ブモン</t>
    </rPh>
    <rPh sb="23" eb="24">
      <t>ア</t>
    </rPh>
    <phoneticPr fontId="4"/>
  </si>
  <si>
    <t>１～３月</t>
    <rPh sb="3" eb="4">
      <t>ガツ</t>
    </rPh>
    <phoneticPr fontId="4"/>
  </si>
  <si>
    <t>１２～３月</t>
    <rPh sb="4" eb="5">
      <t>ガツ</t>
    </rPh>
    <phoneticPr fontId="4"/>
  </si>
  <si>
    <t>乗用</t>
    <rPh sb="0" eb="2">
      <t>ジョウヨウ</t>
    </rPh>
    <phoneticPr fontId="4"/>
  </si>
  <si>
    <t>マルチスプレッダー</t>
    <phoneticPr fontId="4"/>
  </si>
  <si>
    <t>露地栽培，ハウス栽培</t>
    <rPh sb="0" eb="2">
      <t>ロジ</t>
    </rPh>
    <rPh sb="2" eb="4">
      <t>サイバイ</t>
    </rPh>
    <rPh sb="8" eb="10">
      <t>サイバイ</t>
    </rPh>
    <phoneticPr fontId="3"/>
  </si>
  <si>
    <t>集落法人</t>
    <rPh sb="0" eb="2">
      <t>シュウラク</t>
    </rPh>
    <rPh sb="2" eb="4">
      <t>ホウジン</t>
    </rPh>
    <phoneticPr fontId="3"/>
  </si>
  <si>
    <t>本</t>
    <phoneticPr fontId="4"/>
  </si>
  <si>
    <t>　　ハウス温度管理</t>
    <rPh sb="5" eb="7">
      <t>オンド</t>
    </rPh>
    <rPh sb="7" eb="9">
      <t>カンリ</t>
    </rPh>
    <phoneticPr fontId="4"/>
  </si>
  <si>
    <t>ハウス温度管理</t>
    <rPh sb="3" eb="5">
      <t>オンド</t>
    </rPh>
    <rPh sb="5" eb="7">
      <t>カンリ</t>
    </rPh>
    <phoneticPr fontId="4"/>
  </si>
  <si>
    <t>３～５月</t>
    <rPh sb="3" eb="4">
      <t>ガツ</t>
    </rPh>
    <phoneticPr fontId="4"/>
  </si>
  <si>
    <t>3000円/10a</t>
    <rPh sb="4" eb="5">
      <t>エン</t>
    </rPh>
    <phoneticPr fontId="4"/>
  </si>
  <si>
    <t>天井ビニール</t>
    <rPh sb="0" eb="2">
      <t>テンジョウ</t>
    </rPh>
    <phoneticPr fontId="4"/>
  </si>
  <si>
    <t>㎡</t>
    <phoneticPr fontId="4"/>
  </si>
  <si>
    <t>2ha</t>
    <phoneticPr fontId="4"/>
  </si>
  <si>
    <t>2ha</t>
    <phoneticPr fontId="4"/>
  </si>
  <si>
    <t>1ha</t>
    <phoneticPr fontId="4"/>
  </si>
  <si>
    <t>全品種</t>
    <rPh sb="0" eb="1">
      <t>ゼン</t>
    </rPh>
    <rPh sb="1" eb="3">
      <t>ヒンシュ</t>
    </rPh>
    <phoneticPr fontId="4"/>
  </si>
  <si>
    <t>早期コシヒカリ</t>
    <rPh sb="0" eb="2">
      <t>ソウキ</t>
    </rPh>
    <phoneticPr fontId="4"/>
  </si>
  <si>
    <t>コシヒカリ</t>
    <phoneticPr fontId="4"/>
  </si>
  <si>
    <t>恋の予感</t>
    <rPh sb="0" eb="1">
      <t>コイ</t>
    </rPh>
    <rPh sb="2" eb="4">
      <t>ヨカン</t>
    </rPh>
    <phoneticPr fontId="4"/>
  </si>
  <si>
    <t xml:space="preserve">                                                                                                                                                                                                                                                                               </t>
    <phoneticPr fontId="4"/>
  </si>
  <si>
    <t>８－１　経費の算出基礎（水稲（耐倒伏性弱品種），1ha当たり）</t>
    <rPh sb="4" eb="6">
      <t>ケイヒ</t>
    </rPh>
    <rPh sb="7" eb="9">
      <t>サンシュツ</t>
    </rPh>
    <rPh sb="9" eb="11">
      <t>キソ</t>
    </rPh>
    <rPh sb="12" eb="14">
      <t>スイトウ</t>
    </rPh>
    <rPh sb="15" eb="16">
      <t>タイ</t>
    </rPh>
    <rPh sb="16" eb="18">
      <t>トウフク</t>
    </rPh>
    <rPh sb="18" eb="19">
      <t>セイ</t>
    </rPh>
    <rPh sb="19" eb="20">
      <t>ジャク</t>
    </rPh>
    <rPh sb="20" eb="22">
      <t>ヒンシュ</t>
    </rPh>
    <rPh sb="27" eb="28">
      <t>ア</t>
    </rPh>
    <phoneticPr fontId="4"/>
  </si>
  <si>
    <t>1ha機械</t>
    <phoneticPr fontId="4"/>
  </si>
  <si>
    <t>単価</t>
    <phoneticPr fontId="4"/>
  </si>
  <si>
    <t>シート他</t>
    <rPh sb="3" eb="4">
      <t>ホカ</t>
    </rPh>
    <phoneticPr fontId="4"/>
  </si>
  <si>
    <t>㎡</t>
    <phoneticPr fontId="4"/>
  </si>
  <si>
    <t>3年間</t>
    <rPh sb="1" eb="3">
      <t>ネンカン</t>
    </rPh>
    <phoneticPr fontId="4"/>
  </si>
  <si>
    <t>H24農林水産統計</t>
    <rPh sb="3" eb="5">
      <t>ノウリン</t>
    </rPh>
    <rPh sb="5" eb="7">
      <t>スイサン</t>
    </rPh>
    <rPh sb="7" eb="9">
      <t>トウケイ</t>
    </rPh>
    <phoneticPr fontId="4"/>
  </si>
  <si>
    <t>フレコン</t>
    <phoneticPr fontId="4"/>
  </si>
  <si>
    <t>㎏</t>
    <phoneticPr fontId="4"/>
  </si>
  <si>
    <t>㎏</t>
    <phoneticPr fontId="4"/>
  </si>
  <si>
    <t>小　計</t>
    <phoneticPr fontId="4"/>
  </si>
  <si>
    <t>㎏</t>
  </si>
  <si>
    <t>ガソリン</t>
    <phoneticPr fontId="4"/>
  </si>
  <si>
    <t>小　計</t>
    <phoneticPr fontId="4"/>
  </si>
  <si>
    <t>育苗培土</t>
    <rPh sb="0" eb="2">
      <t>イクビョウ</t>
    </rPh>
    <rPh sb="2" eb="4">
      <t>バイド</t>
    </rPh>
    <phoneticPr fontId="4"/>
  </si>
  <si>
    <t>小　計</t>
    <phoneticPr fontId="4"/>
  </si>
  <si>
    <t>鎌他</t>
    <rPh sb="0" eb="1">
      <t>カマ</t>
    </rPh>
    <rPh sb="1" eb="2">
      <t>ホカ</t>
    </rPh>
    <phoneticPr fontId="4"/>
  </si>
  <si>
    <t>本</t>
    <phoneticPr fontId="4"/>
  </si>
  <si>
    <t>ｍｌ</t>
    <phoneticPr fontId="4"/>
  </si>
  <si>
    <t>ｍｌ</t>
    <phoneticPr fontId="4"/>
  </si>
  <si>
    <t>ｍｌ</t>
  </si>
  <si>
    <t>金額</t>
    <phoneticPr fontId="4"/>
  </si>
  <si>
    <t>普通トラック</t>
    <phoneticPr fontId="4"/>
  </si>
  <si>
    <t>コンバイン２台</t>
    <rPh sb="6" eb="7">
      <t>ダイ</t>
    </rPh>
    <phoneticPr fontId="4"/>
  </si>
  <si>
    <t>混合剤</t>
    <rPh sb="0" eb="3">
      <t>コンゴウザイ</t>
    </rPh>
    <phoneticPr fontId="4"/>
  </si>
  <si>
    <t>８－２　経費の算出基礎（水稲（耐倒伏性強品種，1ha当たり）</t>
    <rPh sb="4" eb="6">
      <t>ケイヒ</t>
    </rPh>
    <rPh sb="7" eb="9">
      <t>サンシュツ</t>
    </rPh>
    <rPh sb="9" eb="11">
      <t>キソ</t>
    </rPh>
    <rPh sb="12" eb="14">
      <t>スイトウ</t>
    </rPh>
    <rPh sb="15" eb="16">
      <t>タイ</t>
    </rPh>
    <rPh sb="16" eb="18">
      <t>トウフク</t>
    </rPh>
    <rPh sb="18" eb="19">
      <t>セイ</t>
    </rPh>
    <rPh sb="19" eb="20">
      <t>キョウ</t>
    </rPh>
    <rPh sb="20" eb="22">
      <t>ヒンシュ</t>
    </rPh>
    <rPh sb="26" eb="27">
      <t>ア</t>
    </rPh>
    <phoneticPr fontId="4"/>
  </si>
  <si>
    <t>小　計</t>
    <phoneticPr fontId="4"/>
  </si>
  <si>
    <t>㎏</t>
    <phoneticPr fontId="4"/>
  </si>
  <si>
    <t>（２）農薬費</t>
    <phoneticPr fontId="4"/>
  </si>
  <si>
    <t>㎡</t>
    <phoneticPr fontId="4"/>
  </si>
  <si>
    <t>ﾌｫｰｸリフト</t>
    <phoneticPr fontId="4"/>
  </si>
  <si>
    <t>８－３　経費の算出基礎（水稲（加工用），1ha当たり）</t>
    <rPh sb="4" eb="6">
      <t>ケイヒ</t>
    </rPh>
    <rPh sb="7" eb="9">
      <t>サンシュツ</t>
    </rPh>
    <rPh sb="9" eb="11">
      <t>キソ</t>
    </rPh>
    <rPh sb="12" eb="14">
      <t>スイトウ</t>
    </rPh>
    <rPh sb="15" eb="18">
      <t>カコウヨウ</t>
    </rPh>
    <rPh sb="23" eb="24">
      <t>ア</t>
    </rPh>
    <phoneticPr fontId="4"/>
  </si>
  <si>
    <t>㎏</t>
    <phoneticPr fontId="4"/>
  </si>
  <si>
    <t>小　計</t>
    <phoneticPr fontId="4"/>
  </si>
  <si>
    <t>ガソリン</t>
    <phoneticPr fontId="4"/>
  </si>
  <si>
    <t>小　計</t>
    <phoneticPr fontId="4"/>
  </si>
  <si>
    <t>ｍｌ</t>
    <phoneticPr fontId="4"/>
  </si>
  <si>
    <t>金額</t>
    <phoneticPr fontId="4"/>
  </si>
  <si>
    <t>㎏</t>
    <phoneticPr fontId="4"/>
  </si>
  <si>
    <t>ｍｌ</t>
    <phoneticPr fontId="4"/>
  </si>
  <si>
    <t>ﾌｫｰｸリフト</t>
    <phoneticPr fontId="4"/>
  </si>
  <si>
    <t>水稲（耐倒伏性弱品種）</t>
    <rPh sb="0" eb="2">
      <t>スイトウ</t>
    </rPh>
    <rPh sb="3" eb="4">
      <t>タイ</t>
    </rPh>
    <rPh sb="4" eb="6">
      <t>トウフク</t>
    </rPh>
    <rPh sb="6" eb="7">
      <t>セイ</t>
    </rPh>
    <rPh sb="7" eb="8">
      <t>ジャク</t>
    </rPh>
    <rPh sb="8" eb="10">
      <t>ヒンシュ</t>
    </rPh>
    <phoneticPr fontId="4"/>
  </si>
  <si>
    <t>粗　　　収　　　益　　　の　　　算　　　出</t>
    <phoneticPr fontId="4"/>
  </si>
  <si>
    <t>販売量</t>
    <phoneticPr fontId="4"/>
  </si>
  <si>
    <t>右表（ア）</t>
    <phoneticPr fontId="4"/>
  </si>
  <si>
    <t>数量</t>
    <phoneticPr fontId="4"/>
  </si>
  <si>
    <t>負担価格の</t>
    <phoneticPr fontId="4"/>
  </si>
  <si>
    <t>（kg）</t>
    <phoneticPr fontId="4"/>
  </si>
  <si>
    <t>（イ）肥料名</t>
    <phoneticPr fontId="4"/>
  </si>
  <si>
    <t>１種類</t>
  </si>
  <si>
    <t>１種類</t>
    <phoneticPr fontId="4"/>
  </si>
  <si>
    <t>オペ労賃</t>
    <phoneticPr fontId="5"/>
  </si>
  <si>
    <t>補助労務賃金</t>
    <phoneticPr fontId="5"/>
  </si>
  <si>
    <t>円/10a</t>
    <rPh sb="0" eb="1">
      <t>エン</t>
    </rPh>
    <phoneticPr fontId="4"/>
  </si>
  <si>
    <t>（ウ）農薬名</t>
    <phoneticPr fontId="4"/>
  </si>
  <si>
    <t>3種類</t>
    <phoneticPr fontId="4"/>
  </si>
  <si>
    <t>殺虫剤</t>
    <rPh sb="0" eb="3">
      <t>サッチュウザイ</t>
    </rPh>
    <phoneticPr fontId="4"/>
  </si>
  <si>
    <t>2種類</t>
    <phoneticPr fontId="4"/>
  </si>
  <si>
    <t>売上原価　計</t>
    <phoneticPr fontId="4"/>
  </si>
  <si>
    <t>米袋</t>
    <rPh sb="0" eb="1">
      <t>コメ</t>
    </rPh>
    <rPh sb="1" eb="2">
      <t>フクロ</t>
    </rPh>
    <phoneticPr fontId="4"/>
  </si>
  <si>
    <t>検査手数料</t>
    <rPh sb="0" eb="2">
      <t>ケンサ</t>
    </rPh>
    <rPh sb="2" eb="5">
      <t>テスウリョウ</t>
    </rPh>
    <phoneticPr fontId="4"/>
  </si>
  <si>
    <t>（エ）燃料名</t>
    <phoneticPr fontId="4"/>
  </si>
  <si>
    <t>軽油</t>
    <phoneticPr fontId="4"/>
  </si>
  <si>
    <t>6作業</t>
    <rPh sb="1" eb="3">
      <t>サギョウ</t>
    </rPh>
    <phoneticPr fontId="4"/>
  </si>
  <si>
    <t>法定福利費　等</t>
    <phoneticPr fontId="4"/>
  </si>
  <si>
    <t>潤滑油</t>
    <phoneticPr fontId="4"/>
  </si>
  <si>
    <t>燃料費の</t>
    <phoneticPr fontId="4"/>
  </si>
  <si>
    <t>混合</t>
    <phoneticPr fontId="4"/>
  </si>
  <si>
    <t>灯油</t>
    <phoneticPr fontId="4"/>
  </si>
  <si>
    <t>電気</t>
    <phoneticPr fontId="4"/>
  </si>
  <si>
    <t>3作業</t>
    <rPh sb="1" eb="3">
      <t>サギョウ</t>
    </rPh>
    <phoneticPr fontId="4"/>
  </si>
  <si>
    <t>米の直接支払交付金</t>
    <rPh sb="0" eb="1">
      <t>コメ</t>
    </rPh>
    <rPh sb="2" eb="4">
      <t>チョクセツ</t>
    </rPh>
    <rPh sb="4" eb="6">
      <t>シハライ</t>
    </rPh>
    <rPh sb="6" eb="9">
      <t>コウフキン</t>
    </rPh>
    <phoneticPr fontId="4"/>
  </si>
  <si>
    <t>営業外
費用</t>
    <phoneticPr fontId="4"/>
  </si>
  <si>
    <t>営業利益</t>
    <rPh sb="0" eb="2">
      <t>エイギョウ</t>
    </rPh>
    <rPh sb="2" eb="4">
      <t>リエキ</t>
    </rPh>
    <phoneticPr fontId="4"/>
  </si>
  <si>
    <t>７－２　経営収支（水稲部門，1ha当たり）</t>
    <rPh sb="9" eb="11">
      <t>スイトウ</t>
    </rPh>
    <rPh sb="11" eb="13">
      <t>ブモン</t>
    </rPh>
    <rPh sb="17" eb="18">
      <t>ア</t>
    </rPh>
    <phoneticPr fontId="4"/>
  </si>
  <si>
    <t>水稲（耐倒伏性強品種）</t>
    <rPh sb="0" eb="2">
      <t>スイトウ</t>
    </rPh>
    <rPh sb="3" eb="4">
      <t>タイ</t>
    </rPh>
    <rPh sb="4" eb="6">
      <t>トウフク</t>
    </rPh>
    <rPh sb="6" eb="7">
      <t>セイ</t>
    </rPh>
    <rPh sb="7" eb="8">
      <t>キョウ</t>
    </rPh>
    <rPh sb="8" eb="10">
      <t>ヒンシュ</t>
    </rPh>
    <phoneticPr fontId="4"/>
  </si>
  <si>
    <t>粗　　　収　　　益　　　の　　　算　　　出</t>
    <phoneticPr fontId="4"/>
  </si>
  <si>
    <t>販売量</t>
    <phoneticPr fontId="4"/>
  </si>
  <si>
    <t>数量</t>
    <phoneticPr fontId="4"/>
  </si>
  <si>
    <t>負担価格の</t>
    <phoneticPr fontId="4"/>
  </si>
  <si>
    <t>（kg）</t>
    <phoneticPr fontId="4"/>
  </si>
  <si>
    <t>（イ）肥料名</t>
    <phoneticPr fontId="4"/>
  </si>
  <si>
    <t>数量</t>
    <phoneticPr fontId="4"/>
  </si>
  <si>
    <t>１種類</t>
    <phoneticPr fontId="4"/>
  </si>
  <si>
    <t>オペ労賃</t>
    <phoneticPr fontId="5"/>
  </si>
  <si>
    <t>１種類</t>
    <phoneticPr fontId="4"/>
  </si>
  <si>
    <t>補助労務賃金</t>
    <phoneticPr fontId="5"/>
  </si>
  <si>
    <t>（ウ）農薬名</t>
    <phoneticPr fontId="4"/>
  </si>
  <si>
    <t>3種類</t>
    <phoneticPr fontId="4"/>
  </si>
  <si>
    <t>2種類</t>
    <phoneticPr fontId="4"/>
  </si>
  <si>
    <t>（エ）燃料名</t>
    <phoneticPr fontId="4"/>
  </si>
  <si>
    <t>軽油</t>
    <phoneticPr fontId="4"/>
  </si>
  <si>
    <t>ガソリン</t>
    <phoneticPr fontId="4"/>
  </si>
  <si>
    <t>灯油</t>
    <phoneticPr fontId="4"/>
  </si>
  <si>
    <t>電気</t>
    <phoneticPr fontId="4"/>
  </si>
  <si>
    <t>直接支払</t>
    <rPh sb="0" eb="2">
      <t>チョクセツ</t>
    </rPh>
    <rPh sb="2" eb="4">
      <t>シハライ</t>
    </rPh>
    <phoneticPr fontId="4"/>
  </si>
  <si>
    <t>営業外
費用</t>
    <phoneticPr fontId="4"/>
  </si>
  <si>
    <t>７－３　経営収支（水稲（加工用米）部門，1ha当たり）</t>
    <rPh sb="9" eb="11">
      <t>スイトウ</t>
    </rPh>
    <rPh sb="12" eb="15">
      <t>カコウヨウ</t>
    </rPh>
    <rPh sb="15" eb="16">
      <t>マイ</t>
    </rPh>
    <rPh sb="17" eb="19">
      <t>ブモン</t>
    </rPh>
    <rPh sb="23" eb="24">
      <t>ア</t>
    </rPh>
    <phoneticPr fontId="4"/>
  </si>
  <si>
    <t>水稲（加工用米）</t>
    <rPh sb="0" eb="2">
      <t>スイトウ</t>
    </rPh>
    <rPh sb="3" eb="6">
      <t>カコウヨウ</t>
    </rPh>
    <rPh sb="6" eb="7">
      <t>マイ</t>
    </rPh>
    <phoneticPr fontId="4"/>
  </si>
  <si>
    <t>販売量</t>
    <phoneticPr fontId="4"/>
  </si>
  <si>
    <t>数量</t>
    <phoneticPr fontId="4"/>
  </si>
  <si>
    <t>負担価格の</t>
    <phoneticPr fontId="4"/>
  </si>
  <si>
    <t>中生新千本</t>
    <rPh sb="0" eb="2">
      <t>ナカテ</t>
    </rPh>
    <rPh sb="2" eb="3">
      <t>シン</t>
    </rPh>
    <rPh sb="3" eb="5">
      <t>センボン</t>
    </rPh>
    <phoneticPr fontId="4"/>
  </si>
  <si>
    <t>（kg）</t>
    <phoneticPr fontId="4"/>
  </si>
  <si>
    <t>負担価格の</t>
    <phoneticPr fontId="4"/>
  </si>
  <si>
    <t>（イ）肥料名</t>
    <phoneticPr fontId="4"/>
  </si>
  <si>
    <t>１種類</t>
    <phoneticPr fontId="4"/>
  </si>
  <si>
    <t>オペ労賃</t>
    <phoneticPr fontId="5"/>
  </si>
  <si>
    <t>補助労務賃金</t>
    <phoneticPr fontId="5"/>
  </si>
  <si>
    <t>（ウ）農薬名</t>
    <phoneticPr fontId="4"/>
  </si>
  <si>
    <t>3種類</t>
    <phoneticPr fontId="4"/>
  </si>
  <si>
    <t>2種類</t>
    <phoneticPr fontId="4"/>
  </si>
  <si>
    <t>売上原価　計</t>
    <phoneticPr fontId="4"/>
  </si>
  <si>
    <t>（エ）燃料名</t>
    <phoneticPr fontId="4"/>
  </si>
  <si>
    <t>軽油</t>
    <phoneticPr fontId="4"/>
  </si>
  <si>
    <t>ガソリン</t>
    <phoneticPr fontId="4"/>
  </si>
  <si>
    <t>法定福利費　等</t>
    <phoneticPr fontId="4"/>
  </si>
  <si>
    <t>潤滑油</t>
    <phoneticPr fontId="4"/>
  </si>
  <si>
    <t>燃料費の</t>
    <phoneticPr fontId="4"/>
  </si>
  <si>
    <t>混合</t>
    <phoneticPr fontId="4"/>
  </si>
  <si>
    <t>灯油</t>
    <phoneticPr fontId="4"/>
  </si>
  <si>
    <t>電気</t>
    <phoneticPr fontId="4"/>
  </si>
  <si>
    <t>込み</t>
    <rPh sb="0" eb="1">
      <t>コ</t>
    </rPh>
    <phoneticPr fontId="4"/>
  </si>
  <si>
    <t>営業外
費用</t>
    <phoneticPr fontId="4"/>
  </si>
  <si>
    <t>水稲(食用米）</t>
    <rPh sb="3" eb="5">
      <t>ショクヨウ</t>
    </rPh>
    <rPh sb="5" eb="6">
      <t>マイ</t>
    </rPh>
    <phoneticPr fontId="4"/>
  </si>
  <si>
    <t>○</t>
    <phoneticPr fontId="3"/>
  </si>
  <si>
    <t>☓</t>
    <phoneticPr fontId="3"/>
  </si>
  <si>
    <t>水稲(加工用米）</t>
    <rPh sb="3" eb="6">
      <t>カコウヨウ</t>
    </rPh>
    <rPh sb="6" eb="7">
      <t>マイ</t>
    </rPh>
    <phoneticPr fontId="4"/>
  </si>
  <si>
    <t>ほ場整備完了水田，平均30a規模</t>
    <rPh sb="1" eb="2">
      <t>ジョウ</t>
    </rPh>
    <rPh sb="2" eb="4">
      <t>セイビ</t>
    </rPh>
    <rPh sb="4" eb="6">
      <t>カンリョウ</t>
    </rPh>
    <rPh sb="6" eb="8">
      <t>スイデン</t>
    </rPh>
    <rPh sb="9" eb="11">
      <t>ヘイキン</t>
    </rPh>
    <rPh sb="14" eb="16">
      <t>キボ</t>
    </rPh>
    <phoneticPr fontId="3"/>
  </si>
  <si>
    <t>食用米（早期コシヒカリ）</t>
    <rPh sb="0" eb="2">
      <t>ショクヨウ</t>
    </rPh>
    <rPh sb="2" eb="3">
      <t>マイ</t>
    </rPh>
    <rPh sb="4" eb="6">
      <t>ソウキ</t>
    </rPh>
    <phoneticPr fontId="3"/>
  </si>
  <si>
    <t>ha</t>
    <phoneticPr fontId="3"/>
  </si>
  <si>
    <t>食用米（普通コシヒカリ）</t>
    <rPh sb="0" eb="2">
      <t>ショクヨウ</t>
    </rPh>
    <rPh sb="2" eb="3">
      <t>マイ</t>
    </rPh>
    <rPh sb="4" eb="6">
      <t>フツウ</t>
    </rPh>
    <phoneticPr fontId="3"/>
  </si>
  <si>
    <t>食用米（恋の予感）</t>
    <rPh sb="0" eb="2">
      <t>ショクヨウ</t>
    </rPh>
    <rPh sb="2" eb="3">
      <t>マイ</t>
    </rPh>
    <rPh sb="4" eb="5">
      <t>コイ</t>
    </rPh>
    <rPh sb="6" eb="8">
      <t>ヨカン</t>
    </rPh>
    <phoneticPr fontId="3"/>
  </si>
  <si>
    <t>ha</t>
  </si>
  <si>
    <t>加工用米（中生新千本）</t>
    <rPh sb="0" eb="3">
      <t>カコウヨウ</t>
    </rPh>
    <rPh sb="3" eb="4">
      <t>マイ</t>
    </rPh>
    <rPh sb="5" eb="7">
      <t>ナカテ</t>
    </rPh>
    <rPh sb="7" eb="8">
      <t>シン</t>
    </rPh>
    <rPh sb="8" eb="10">
      <t>センボン</t>
    </rPh>
    <phoneticPr fontId="3"/>
  </si>
  <si>
    <t>組織経営体構成員</t>
    <rPh sb="0" eb="2">
      <t>ソシキ</t>
    </rPh>
    <rPh sb="2" eb="5">
      <t>ケイエイタイ</t>
    </rPh>
    <rPh sb="5" eb="8">
      <t>コウセイイン</t>
    </rPh>
    <phoneticPr fontId="3"/>
  </si>
  <si>
    <t>稚苗疎植移植体系</t>
    <rPh sb="0" eb="2">
      <t>チビョウ</t>
    </rPh>
    <rPh sb="2" eb="3">
      <t>ソ</t>
    </rPh>
    <rPh sb="3" eb="4">
      <t>ショク</t>
    </rPh>
    <rPh sb="4" eb="6">
      <t>イショク</t>
    </rPh>
    <rPh sb="6" eb="8">
      <t>タイケイ</t>
    </rPh>
    <phoneticPr fontId="3"/>
  </si>
  <si>
    <t>大型機械化体系
畦畔管理作業，水管理作業は，他へ委託する</t>
    <rPh sb="0" eb="2">
      <t>オオガタ</t>
    </rPh>
    <rPh sb="2" eb="5">
      <t>キカイカ</t>
    </rPh>
    <rPh sb="5" eb="7">
      <t>タイケイ</t>
    </rPh>
    <rPh sb="8" eb="10">
      <t>ケイハン</t>
    </rPh>
    <rPh sb="10" eb="12">
      <t>カンリ</t>
    </rPh>
    <rPh sb="12" eb="14">
      <t>サギョウ</t>
    </rPh>
    <rPh sb="15" eb="16">
      <t>ミズ</t>
    </rPh>
    <rPh sb="16" eb="18">
      <t>カンリ</t>
    </rPh>
    <rPh sb="18" eb="20">
      <t>サギョウ</t>
    </rPh>
    <rPh sb="22" eb="23">
      <t>タ</t>
    </rPh>
    <rPh sb="24" eb="26">
      <t>イタク</t>
    </rPh>
    <phoneticPr fontId="3"/>
  </si>
  <si>
    <t xml:space="preserve">水稲：系統利用（一部構成員へ販売）
加工用米：系統利用（複数年契約）
</t>
    <rPh sb="0" eb="2">
      <t>スイトウ</t>
    </rPh>
    <rPh sb="10" eb="13">
      <t>コウセイイン</t>
    </rPh>
    <rPh sb="14" eb="16">
      <t>ハンバイ</t>
    </rPh>
    <rPh sb="18" eb="21">
      <t>カコウヨウ</t>
    </rPh>
    <rPh sb="21" eb="22">
      <t>マイ</t>
    </rPh>
    <rPh sb="28" eb="30">
      <t>フクスウ</t>
    </rPh>
    <rPh sb="30" eb="31">
      <t>ネン</t>
    </rPh>
    <rPh sb="31" eb="33">
      <t>ケイヤク</t>
    </rPh>
    <phoneticPr fontId="3"/>
  </si>
  <si>
    <t>水稲</t>
    <rPh sb="0" eb="2">
      <t>スイトウ</t>
    </rPh>
    <phoneticPr fontId="3"/>
  </si>
  <si>
    <t>アスパラガス</t>
    <phoneticPr fontId="3"/>
  </si>
  <si>
    <t>30ha（借地30ha）</t>
    <phoneticPr fontId="4"/>
  </si>
  <si>
    <t>水稲　：　食用米</t>
    <rPh sb="0" eb="2">
      <t>スイトウ</t>
    </rPh>
    <rPh sb="5" eb="7">
      <t>ショクヨウ</t>
    </rPh>
    <rPh sb="7" eb="8">
      <t>コメ</t>
    </rPh>
    <phoneticPr fontId="4"/>
  </si>
  <si>
    <t>普通　　（中部）</t>
    <rPh sb="0" eb="2">
      <t>フツウ</t>
    </rPh>
    <rPh sb="5" eb="6">
      <t>ナカ</t>
    </rPh>
    <phoneticPr fontId="4"/>
  </si>
  <si>
    <t>育苗</t>
    <rPh sb="0" eb="2">
      <t>イクビョウ</t>
    </rPh>
    <phoneticPr fontId="4"/>
  </si>
  <si>
    <t>本田準備</t>
    <rPh sb="0" eb="2">
      <t>ホンデン</t>
    </rPh>
    <rPh sb="2" eb="4">
      <t>ジュンビ</t>
    </rPh>
    <phoneticPr fontId="4"/>
  </si>
  <si>
    <t>田植</t>
    <rPh sb="0" eb="2">
      <t>タウエ</t>
    </rPh>
    <phoneticPr fontId="4"/>
  </si>
  <si>
    <t>（除草）</t>
    <rPh sb="1" eb="3">
      <t>ジョソウ</t>
    </rPh>
    <phoneticPr fontId="4"/>
  </si>
  <si>
    <t>収穫・調製</t>
    <rPh sb="0" eb="2">
      <t>シュウカク</t>
    </rPh>
    <rPh sb="3" eb="5">
      <t>チョウセイ</t>
    </rPh>
    <phoneticPr fontId="4"/>
  </si>
  <si>
    <t>土づくり</t>
    <rPh sb="0" eb="1">
      <t>ツチ</t>
    </rPh>
    <phoneticPr fontId="4"/>
  </si>
  <si>
    <t>その他</t>
    <rPh sb="2" eb="3">
      <t>タ</t>
    </rPh>
    <phoneticPr fontId="1"/>
  </si>
  <si>
    <r>
      <t>3月中旬～</t>
    </r>
    <r>
      <rPr>
        <sz val="11"/>
        <rFont val="ＭＳ Ｐゴシック"/>
        <family val="3"/>
        <charset val="128"/>
      </rPr>
      <t>5</t>
    </r>
    <r>
      <rPr>
        <sz val="11"/>
        <rFont val="ＭＳ Ｐゴシック"/>
        <family val="3"/>
        <charset val="128"/>
      </rPr>
      <t>月下旬</t>
    </r>
    <rPh sb="1" eb="2">
      <t>ガツ</t>
    </rPh>
    <rPh sb="2" eb="3">
      <t>チュウ</t>
    </rPh>
    <rPh sb="6" eb="7">
      <t>ガツ</t>
    </rPh>
    <rPh sb="7" eb="8">
      <t>ゲ</t>
    </rPh>
    <phoneticPr fontId="1"/>
  </si>
  <si>
    <t>2月～5月</t>
    <rPh sb="1" eb="2">
      <t>ガツ</t>
    </rPh>
    <rPh sb="4" eb="5">
      <t>ガツ</t>
    </rPh>
    <phoneticPr fontId="1"/>
  </si>
  <si>
    <t>4月下旬～5月下旬</t>
    <rPh sb="1" eb="2">
      <t>ガツ</t>
    </rPh>
    <rPh sb="2" eb="4">
      <t>ゲジュン</t>
    </rPh>
    <rPh sb="6" eb="7">
      <t>ガツ</t>
    </rPh>
    <rPh sb="7" eb="9">
      <t>ゲジュン</t>
    </rPh>
    <phoneticPr fontId="1"/>
  </si>
  <si>
    <t>全期間</t>
    <rPh sb="0" eb="3">
      <t>ゼンキカン</t>
    </rPh>
    <phoneticPr fontId="1"/>
  </si>
  <si>
    <t>7月上旬～9月上旬</t>
    <rPh sb="1" eb="2">
      <t>ガツ</t>
    </rPh>
    <rPh sb="2" eb="4">
      <t>ジョウジュン</t>
    </rPh>
    <rPh sb="6" eb="7">
      <t>ガツ</t>
    </rPh>
    <rPh sb="7" eb="8">
      <t>ジョウ</t>
    </rPh>
    <rPh sb="8" eb="9">
      <t>ジュン</t>
    </rPh>
    <phoneticPr fontId="1"/>
  </si>
  <si>
    <t>8月下旬～10月中旬</t>
    <rPh sb="1" eb="2">
      <t>ガツ</t>
    </rPh>
    <rPh sb="2" eb="4">
      <t>ゲジュン</t>
    </rPh>
    <rPh sb="7" eb="8">
      <t>ガツ</t>
    </rPh>
    <rPh sb="8" eb="10">
      <t>チュウジュン</t>
    </rPh>
    <phoneticPr fontId="1"/>
  </si>
  <si>
    <t>10月～11月</t>
    <rPh sb="2" eb="3">
      <t>ガツ</t>
    </rPh>
    <rPh sb="6" eb="7">
      <t>ガツ</t>
    </rPh>
    <phoneticPr fontId="1"/>
  </si>
  <si>
    <t>育苗器</t>
    <rPh sb="0" eb="2">
      <t>イクビョウ</t>
    </rPh>
    <rPh sb="2" eb="3">
      <t>キ</t>
    </rPh>
    <phoneticPr fontId="4"/>
  </si>
  <si>
    <t>トラクター</t>
    <phoneticPr fontId="4"/>
  </si>
  <si>
    <t>田植機（肥料、育苗箱施用剤、除草剤散布機付）</t>
    <rPh sb="7" eb="9">
      <t>イクビョウ</t>
    </rPh>
    <phoneticPr fontId="4"/>
  </si>
  <si>
    <t>乗用管理機</t>
    <rPh sb="0" eb="2">
      <t>ジョウヨウ</t>
    </rPh>
    <rPh sb="2" eb="4">
      <t>カンリ</t>
    </rPh>
    <rPh sb="4" eb="5">
      <t>キ</t>
    </rPh>
    <phoneticPr fontId="4"/>
  </si>
  <si>
    <t>コンバイン
乾燥機
籾摺り
石抜き
色彩選別機</t>
    <rPh sb="6" eb="9">
      <t>カンソウキ</t>
    </rPh>
    <phoneticPr fontId="4"/>
  </si>
  <si>
    <t>トラクター
ブロードキャスター</t>
    <phoneticPr fontId="4"/>
  </si>
  <si>
    <t>機械時間（1ha当たり）</t>
    <rPh sb="0" eb="2">
      <t>キカイ</t>
    </rPh>
    <rPh sb="2" eb="4">
      <t>ジカン</t>
    </rPh>
    <phoneticPr fontId="4"/>
  </si>
  <si>
    <t>人力時間（1ha当たり）</t>
    <rPh sb="0" eb="2">
      <t>ジンリキ</t>
    </rPh>
    <rPh sb="2" eb="4">
      <t>ジカン</t>
    </rPh>
    <phoneticPr fontId="4"/>
  </si>
  <si>
    <t>使用資材
（１ha当たり）</t>
    <rPh sb="0" eb="2">
      <t>シヨウ</t>
    </rPh>
    <rPh sb="2" eb="4">
      <t>シザイ</t>
    </rPh>
    <rPh sb="9" eb="10">
      <t>ア</t>
    </rPh>
    <phoneticPr fontId="4"/>
  </si>
  <si>
    <t>種籾　　　35ｋｇ
種子消毒剤
　殺菌剤　
　殺虫剤　
土壌消毒剤
　殺菌剤　l
育苗培土　</t>
    <rPh sb="0" eb="1">
      <t>タネ</t>
    </rPh>
    <rPh sb="1" eb="2">
      <t>モミ</t>
    </rPh>
    <rPh sb="10" eb="12">
      <t>シュシ</t>
    </rPh>
    <rPh sb="12" eb="14">
      <t>ショウドク</t>
    </rPh>
    <rPh sb="14" eb="15">
      <t>ザイ</t>
    </rPh>
    <rPh sb="17" eb="20">
      <t>サッキンザイ</t>
    </rPh>
    <rPh sb="23" eb="26">
      <t>サッチュウザイ</t>
    </rPh>
    <rPh sb="29" eb="31">
      <t>ドジョウ</t>
    </rPh>
    <rPh sb="31" eb="33">
      <t>ショウドク</t>
    </rPh>
    <rPh sb="33" eb="34">
      <t>ザイ</t>
    </rPh>
    <rPh sb="36" eb="39">
      <t>サッキンザイ</t>
    </rPh>
    <phoneticPr fontId="4"/>
  </si>
  <si>
    <t>（後期除草剤）</t>
    <rPh sb="1" eb="3">
      <t>コウキ</t>
    </rPh>
    <rPh sb="3" eb="6">
      <t>ジョソウザイ</t>
    </rPh>
    <phoneticPr fontId="1"/>
  </si>
  <si>
    <t>殺菌剤　
殺虫剤　
殺菌殺虫混合剤
　　</t>
    <rPh sb="0" eb="3">
      <t>サッキンザイ</t>
    </rPh>
    <rPh sb="6" eb="9">
      <t>サッチュウザイ</t>
    </rPh>
    <rPh sb="12" eb="14">
      <t>サッキン</t>
    </rPh>
    <rPh sb="14" eb="16">
      <t>サッチュウ</t>
    </rPh>
    <rPh sb="16" eb="19">
      <t>コンゴウザイ</t>
    </rPh>
    <phoneticPr fontId="4"/>
  </si>
  <si>
    <t>土づくり肥料</t>
    <rPh sb="0" eb="1">
      <t>ツチ</t>
    </rPh>
    <rPh sb="4" eb="6">
      <t>ヒリョウ</t>
    </rPh>
    <phoneticPr fontId="4"/>
  </si>
  <si>
    <t>水稲　：　加工用米</t>
    <rPh sb="0" eb="2">
      <t>スイトウ</t>
    </rPh>
    <rPh sb="5" eb="7">
      <t>カコウ</t>
    </rPh>
    <rPh sb="7" eb="8">
      <t>ヨウ</t>
    </rPh>
    <rPh sb="8" eb="9">
      <t>コメ</t>
    </rPh>
    <phoneticPr fontId="4"/>
  </si>
  <si>
    <r>
      <t>4月中旬～5</t>
    </r>
    <r>
      <rPr>
        <sz val="11"/>
        <rFont val="ＭＳ Ｐゴシック"/>
        <family val="3"/>
        <charset val="128"/>
      </rPr>
      <t>月中旬</t>
    </r>
    <rPh sb="1" eb="2">
      <t>ガツ</t>
    </rPh>
    <rPh sb="2" eb="3">
      <t>チュウ</t>
    </rPh>
    <rPh sb="6" eb="7">
      <t>ガツ</t>
    </rPh>
    <rPh sb="7" eb="8">
      <t>チュウ</t>
    </rPh>
    <phoneticPr fontId="1"/>
  </si>
  <si>
    <t>5月中旬～5月下旬</t>
    <rPh sb="1" eb="2">
      <t>ガツ</t>
    </rPh>
    <rPh sb="2" eb="4">
      <t>チュウジュン</t>
    </rPh>
    <rPh sb="6" eb="7">
      <t>ガツ</t>
    </rPh>
    <rPh sb="7" eb="9">
      <t>ゲジュン</t>
    </rPh>
    <phoneticPr fontId="1"/>
  </si>
  <si>
    <t>8月上旬～８月下旬</t>
    <rPh sb="1" eb="2">
      <t>ガツ</t>
    </rPh>
    <rPh sb="2" eb="4">
      <t>ジョウジュン</t>
    </rPh>
    <rPh sb="6" eb="7">
      <t>ガツ</t>
    </rPh>
    <rPh sb="7" eb="8">
      <t>ゲ</t>
    </rPh>
    <rPh sb="8" eb="9">
      <t>ジュン</t>
    </rPh>
    <phoneticPr fontId="1"/>
  </si>
  <si>
    <t>9月下旬～10月上旬</t>
    <rPh sb="1" eb="2">
      <t>ガツ</t>
    </rPh>
    <rPh sb="2" eb="4">
      <t>ゲジュン</t>
    </rPh>
    <rPh sb="7" eb="8">
      <t>ガツ</t>
    </rPh>
    <rPh sb="8" eb="9">
      <t>ジョウ</t>
    </rPh>
    <rPh sb="9" eb="10">
      <t>ジュン</t>
    </rPh>
    <phoneticPr fontId="1"/>
  </si>
  <si>
    <t>トラクター</t>
    <phoneticPr fontId="4"/>
  </si>
  <si>
    <t>トラクター
ブロードキャスター</t>
    <phoneticPr fontId="4"/>
  </si>
  <si>
    <t>種籾　　　35ｋｇ
種子消毒剤
　殺菌剤　
　殺虫剤　
土壌消毒剤
　殺菌剤　
育苗培土　</t>
    <rPh sb="0" eb="1">
      <t>タネ</t>
    </rPh>
    <rPh sb="1" eb="2">
      <t>モミ</t>
    </rPh>
    <rPh sb="10" eb="12">
      <t>シュシ</t>
    </rPh>
    <rPh sb="12" eb="14">
      <t>ショウドク</t>
    </rPh>
    <rPh sb="14" eb="15">
      <t>ザイ</t>
    </rPh>
    <rPh sb="17" eb="20">
      <t>サッキンザイ</t>
    </rPh>
    <rPh sb="23" eb="26">
      <t>サッチュウザイ</t>
    </rPh>
    <rPh sb="29" eb="31">
      <t>ドジョウ</t>
    </rPh>
    <rPh sb="31" eb="33">
      <t>ショウドク</t>
    </rPh>
    <rPh sb="33" eb="34">
      <t>ザイ</t>
    </rPh>
    <rPh sb="36" eb="39">
      <t>サッキンザイ</t>
    </rPh>
    <phoneticPr fontId="4"/>
  </si>
  <si>
    <t>・肥料
　基肥一発型緩効性肥料　500kg
・箱施用剤　
・除草剤　</t>
    <rPh sb="1" eb="3">
      <t>ヒリョウ</t>
    </rPh>
    <rPh sb="5" eb="7">
      <t>モトゴエ</t>
    </rPh>
    <rPh sb="7" eb="9">
      <t>イッパツ</t>
    </rPh>
    <rPh sb="9" eb="10">
      <t>カタ</t>
    </rPh>
    <rPh sb="10" eb="13">
      <t>カンコウセイ</t>
    </rPh>
    <rPh sb="13" eb="15">
      <t>ヒリョウ</t>
    </rPh>
    <rPh sb="23" eb="24">
      <t>ハコ</t>
    </rPh>
    <rPh sb="24" eb="26">
      <t>セヨウ</t>
    </rPh>
    <rPh sb="26" eb="27">
      <t>ザイ</t>
    </rPh>
    <rPh sb="30" eb="33">
      <t>ジョソウザイ</t>
    </rPh>
    <phoneticPr fontId="4"/>
  </si>
  <si>
    <t>殺菌剤
殺虫剤
殺菌殺虫混合剤
　</t>
    <rPh sb="0" eb="3">
      <t>サッキンザイ</t>
    </rPh>
    <rPh sb="5" eb="8">
      <t>サッチュウザイ</t>
    </rPh>
    <rPh sb="10" eb="12">
      <t>サッキン</t>
    </rPh>
    <rPh sb="12" eb="14">
      <t>サッチュウ</t>
    </rPh>
    <rPh sb="14" eb="17">
      <t>コンゴウザイ</t>
    </rPh>
    <phoneticPr fontId="4"/>
  </si>
  <si>
    <t>水稲（食用米，加工米）</t>
    <rPh sb="0" eb="2">
      <t>スイトウ</t>
    </rPh>
    <rPh sb="3" eb="5">
      <t>ショクヨウ</t>
    </rPh>
    <rPh sb="5" eb="6">
      <t>マイ</t>
    </rPh>
    <rPh sb="7" eb="9">
      <t>カコウ</t>
    </rPh>
    <rPh sb="9" eb="10">
      <t>マイ</t>
    </rPh>
    <phoneticPr fontId="4"/>
  </si>
  <si>
    <t>作　業　別</t>
    <phoneticPr fontId="4"/>
  </si>
  <si>
    <t>オペ</t>
    <phoneticPr fontId="4"/>
  </si>
  <si>
    <t>補助</t>
    <rPh sb="0" eb="2">
      <t>ホジョ</t>
    </rPh>
    <phoneticPr fontId="4"/>
  </si>
  <si>
    <t>作　　　型</t>
    <phoneticPr fontId="4"/>
  </si>
  <si>
    <t>種子予措</t>
    <rPh sb="0" eb="2">
      <t>シュシ</t>
    </rPh>
    <rPh sb="2" eb="3">
      <t>ヨ</t>
    </rPh>
    <rPh sb="3" eb="4">
      <t>ソ</t>
    </rPh>
    <phoneticPr fontId="4"/>
  </si>
  <si>
    <t>育苗管理</t>
    <rPh sb="0" eb="2">
      <t>イクビョウ</t>
    </rPh>
    <rPh sb="2" eb="4">
      <t>カンリ</t>
    </rPh>
    <phoneticPr fontId="4"/>
  </si>
  <si>
    <t>耕起</t>
    <rPh sb="0" eb="2">
      <t>コウキ</t>
    </rPh>
    <phoneticPr fontId="4"/>
  </si>
  <si>
    <t>代かき</t>
    <rPh sb="0" eb="1">
      <t>シロ</t>
    </rPh>
    <phoneticPr fontId="4"/>
  </si>
  <si>
    <t>追肥</t>
    <rPh sb="0" eb="2">
      <t>ツイヒ</t>
    </rPh>
    <phoneticPr fontId="4"/>
  </si>
  <si>
    <t>刈取，脱穀</t>
    <rPh sb="0" eb="2">
      <t>カリト</t>
    </rPh>
    <rPh sb="3" eb="5">
      <t>ダッコク</t>
    </rPh>
    <phoneticPr fontId="4"/>
  </si>
  <si>
    <t>乾燥調製出荷</t>
    <rPh sb="0" eb="2">
      <t>カンソウ</t>
    </rPh>
    <rPh sb="2" eb="4">
      <t>チョウセイ</t>
    </rPh>
    <rPh sb="4" eb="6">
      <t>シュッカ</t>
    </rPh>
    <phoneticPr fontId="4"/>
  </si>
  <si>
    <t>改良資材散布</t>
    <rPh sb="0" eb="2">
      <t>カイリョウ</t>
    </rPh>
    <rPh sb="2" eb="4">
      <t>シザイ</t>
    </rPh>
    <rPh sb="4" eb="6">
      <t>サンプ</t>
    </rPh>
    <phoneticPr fontId="4"/>
  </si>
  <si>
    <t>旬　別　計</t>
    <phoneticPr fontId="4"/>
  </si>
  <si>
    <t>月　  　計</t>
    <phoneticPr fontId="4"/>
  </si>
  <si>
    <t>農機具庫</t>
    <rPh sb="3" eb="4">
      <t>コ</t>
    </rPh>
    <phoneticPr fontId="4"/>
  </si>
  <si>
    <t>乾燥調製施設</t>
  </si>
  <si>
    <t>育苗ハウス</t>
    <rPh sb="0" eb="2">
      <t>イクビョウ</t>
    </rPh>
    <phoneticPr fontId="4"/>
  </si>
  <si>
    <t>育苗箱</t>
    <rPh sb="0" eb="2">
      <t>イクビョウ</t>
    </rPh>
    <rPh sb="2" eb="3">
      <t>バコ</t>
    </rPh>
    <phoneticPr fontId="4"/>
  </si>
  <si>
    <t>450円/箱</t>
    <rPh sb="3" eb="4">
      <t>エン</t>
    </rPh>
    <rPh sb="5" eb="6">
      <t>ハコ</t>
    </rPh>
    <phoneticPr fontId="4"/>
  </si>
  <si>
    <t>箱</t>
    <rPh sb="0" eb="1">
      <t>ハコ</t>
    </rPh>
    <phoneticPr fontId="4"/>
  </si>
  <si>
    <t>乾燥調製一式</t>
    <rPh sb="0" eb="2">
      <t>カンソウ</t>
    </rPh>
    <rPh sb="2" eb="4">
      <t>チョウセイ</t>
    </rPh>
    <rPh sb="4" eb="6">
      <t>イッシキ</t>
    </rPh>
    <phoneticPr fontId="4"/>
  </si>
  <si>
    <t>一式</t>
    <rPh sb="0" eb="2">
      <t>イッシキ</t>
    </rPh>
    <phoneticPr fontId="4"/>
  </si>
  <si>
    <t>ﾌｫｰｸﾘﾌﾄ</t>
  </si>
  <si>
    <t>2ｔﾄﾗｯｸ，中古</t>
    <rPh sb="7" eb="9">
      <t>チュウコ</t>
    </rPh>
    <phoneticPr fontId="4"/>
  </si>
  <si>
    <t>乗用田植機</t>
    <rPh sb="0" eb="2">
      <t>ジョウヨウ</t>
    </rPh>
    <rPh sb="2" eb="4">
      <t>タウエ</t>
    </rPh>
    <rPh sb="4" eb="5">
      <t>キ</t>
    </rPh>
    <phoneticPr fontId="4"/>
  </si>
  <si>
    <t>8条側条施肥機付き</t>
    <rPh sb="1" eb="2">
      <t>ジョウ</t>
    </rPh>
    <rPh sb="2" eb="3">
      <t>ソク</t>
    </rPh>
    <rPh sb="3" eb="4">
      <t>ジョウ</t>
    </rPh>
    <rPh sb="4" eb="6">
      <t>セヒ</t>
    </rPh>
    <rPh sb="6" eb="7">
      <t>キ</t>
    </rPh>
    <rPh sb="7" eb="8">
      <t>ツ</t>
    </rPh>
    <phoneticPr fontId="4"/>
  </si>
  <si>
    <t>4条刈</t>
    <rPh sb="1" eb="2">
      <t>ジョウ</t>
    </rPh>
    <rPh sb="2" eb="3">
      <t>ガ</t>
    </rPh>
    <phoneticPr fontId="4"/>
  </si>
  <si>
    <t>散布巾10ｍ</t>
    <rPh sb="0" eb="2">
      <t>サンプ</t>
    </rPh>
    <rPh sb="2" eb="3">
      <t>ハバ</t>
    </rPh>
    <phoneticPr fontId="4"/>
  </si>
  <si>
    <t>催芽機</t>
    <rPh sb="0" eb="1">
      <t>サイ</t>
    </rPh>
    <rPh sb="1" eb="2">
      <t>ガ</t>
    </rPh>
    <rPh sb="2" eb="3">
      <t>キ</t>
    </rPh>
    <phoneticPr fontId="4"/>
  </si>
  <si>
    <t>200ｋｇ/回</t>
    <rPh sb="6" eb="7">
      <t>カイ</t>
    </rPh>
    <phoneticPr fontId="4"/>
  </si>
  <si>
    <t>播種覆土一連機械</t>
    <rPh sb="0" eb="2">
      <t>ハシュ</t>
    </rPh>
    <rPh sb="2" eb="4">
      <t>フクド</t>
    </rPh>
    <rPh sb="4" eb="6">
      <t>イチレン</t>
    </rPh>
    <rPh sb="6" eb="8">
      <t>キカイ</t>
    </rPh>
    <phoneticPr fontId="4"/>
  </si>
  <si>
    <t>（260箱/時間）</t>
    <rPh sb="4" eb="5">
      <t>ハコ</t>
    </rPh>
    <rPh sb="6" eb="8">
      <t>ジカン</t>
    </rPh>
    <phoneticPr fontId="4"/>
  </si>
  <si>
    <t>水稲（食用米）</t>
    <rPh sb="0" eb="2">
      <t>スイトウ</t>
    </rPh>
    <rPh sb="3" eb="5">
      <t>ショクヨウ</t>
    </rPh>
    <rPh sb="5" eb="6">
      <t>マイ</t>
    </rPh>
    <phoneticPr fontId="4"/>
  </si>
  <si>
    <t>右表（イ）　※８－１－３シート参照</t>
    <phoneticPr fontId="4"/>
  </si>
  <si>
    <t>右表（ウ）　※８－１－３シート参照</t>
    <phoneticPr fontId="4"/>
  </si>
  <si>
    <t>右表（エ）　※８－１－３シート参照</t>
    <phoneticPr fontId="4"/>
  </si>
  <si>
    <t>※８－１－３シート参照</t>
    <rPh sb="9" eb="11">
      <t>サンショウ</t>
    </rPh>
    <phoneticPr fontId="4"/>
  </si>
  <si>
    <t>※８－１－３算出基礎シート参照</t>
    <rPh sb="6" eb="8">
      <t>サンシュツ</t>
    </rPh>
    <rPh sb="8" eb="10">
      <t>キソ</t>
    </rPh>
    <rPh sb="13" eb="15">
      <t>サンショウ</t>
    </rPh>
    <phoneticPr fontId="4"/>
  </si>
  <si>
    <t>農機具庫</t>
    <rPh sb="0" eb="3">
      <t>ノウキグ</t>
    </rPh>
    <rPh sb="3" eb="4">
      <t>コ</t>
    </rPh>
    <phoneticPr fontId="4"/>
  </si>
  <si>
    <t>乾燥調製施設</t>
    <rPh sb="0" eb="2">
      <t>カンソウ</t>
    </rPh>
    <rPh sb="2" eb="4">
      <t>チョウセイ</t>
    </rPh>
    <rPh sb="4" eb="6">
      <t>シセツ</t>
    </rPh>
    <phoneticPr fontId="4"/>
  </si>
  <si>
    <t>育苗ハウス</t>
    <rPh sb="0" eb="2">
      <t>イクビョウ</t>
    </rPh>
    <phoneticPr fontId="4"/>
  </si>
  <si>
    <t>右表（イ）　※８－１－１シート参照</t>
    <phoneticPr fontId="4"/>
  </si>
  <si>
    <t>右表（ウ）　※８－１－１シート参照</t>
    <phoneticPr fontId="4"/>
  </si>
  <si>
    <t>右表（エ）　※８－１－１シート参照</t>
    <phoneticPr fontId="4"/>
  </si>
  <si>
    <t>※８－１－１シート参照</t>
    <rPh sb="9" eb="11">
      <t>サンショウ</t>
    </rPh>
    <phoneticPr fontId="4"/>
  </si>
  <si>
    <t>右表（イ）　※８－１－２シート参照</t>
    <phoneticPr fontId="4"/>
  </si>
  <si>
    <t>右表（ウ）　※８－１－２シート参照</t>
    <phoneticPr fontId="4"/>
  </si>
  <si>
    <t>右表（エ）　※８－１－２シート参照</t>
    <phoneticPr fontId="4"/>
  </si>
  <si>
    <t>※８－１－２シート参照</t>
    <rPh sb="9" eb="11">
      <t>サンショウ</t>
    </rPh>
    <phoneticPr fontId="4"/>
  </si>
  <si>
    <t>潅水設備，バーナー，防除機，トップカー，軽トラック，パイプハウス，マルチスプレッダー</t>
    <rPh sb="0" eb="2">
      <t>カンスイ</t>
    </rPh>
    <rPh sb="2" eb="4">
      <t>セツビ</t>
    </rPh>
    <rPh sb="10" eb="12">
      <t>ボウジョ</t>
    </rPh>
    <rPh sb="12" eb="13">
      <t>キ</t>
    </rPh>
    <rPh sb="20" eb="21">
      <t>ケイ</t>
    </rPh>
    <phoneticPr fontId="3"/>
  </si>
  <si>
    <t>中部</t>
    <rPh sb="0" eb="1">
      <t>チュウブ</t>
    </rPh>
    <phoneticPr fontId="3"/>
  </si>
  <si>
    <t>露地アスパラガス（１年目）</t>
    <rPh sb="0" eb="2">
      <t>ロジ</t>
    </rPh>
    <rPh sb="10" eb="11">
      <t>ネン</t>
    </rPh>
    <rPh sb="11" eb="12">
      <t>メ</t>
    </rPh>
    <phoneticPr fontId="3"/>
  </si>
  <si>
    <t>露地アスパラガス（２年目～）</t>
    <rPh sb="0" eb="2">
      <t>ロジ</t>
    </rPh>
    <rPh sb="10" eb="11">
      <t>ネン</t>
    </rPh>
    <rPh sb="11" eb="12">
      <t>メ</t>
    </rPh>
    <phoneticPr fontId="3"/>
  </si>
  <si>
    <t>長期どり</t>
    <rPh sb="0" eb="2">
      <t>チョウキ</t>
    </rPh>
    <phoneticPr fontId="4"/>
  </si>
  <si>
    <t>アスパラガス</t>
    <phoneticPr fontId="4"/>
  </si>
  <si>
    <t>バーナー</t>
    <phoneticPr fontId="4"/>
  </si>
  <si>
    <t>トップカー
マルチスプレッダー</t>
    <phoneticPr fontId="4"/>
  </si>
  <si>
    <t>堆肥4t～6t</t>
    <phoneticPr fontId="4"/>
  </si>
  <si>
    <t>パオパオ</t>
    <phoneticPr fontId="4"/>
  </si>
  <si>
    <t>バーナー</t>
    <phoneticPr fontId="4"/>
  </si>
  <si>
    <t>灯油150～200ℓ</t>
    <rPh sb="0" eb="2">
      <t>トウユ</t>
    </rPh>
    <phoneticPr fontId="4"/>
  </si>
  <si>
    <t>堆肥4t</t>
    <phoneticPr fontId="4"/>
  </si>
  <si>
    <t>時間</t>
    <rPh sb="0" eb="2">
      <t>ジカン</t>
    </rPh>
    <phoneticPr fontId="4"/>
  </si>
  <si>
    <t>1ha(1.3ha）</t>
    <phoneticPr fontId="4"/>
  </si>
  <si>
    <t>袋</t>
    <phoneticPr fontId="4"/>
  </si>
  <si>
    <t>袋</t>
    <phoneticPr fontId="4"/>
  </si>
  <si>
    <t>本</t>
    <phoneticPr fontId="4"/>
  </si>
  <si>
    <t>袋</t>
    <phoneticPr fontId="4"/>
  </si>
  <si>
    <t>本</t>
    <phoneticPr fontId="4"/>
  </si>
  <si>
    <t>本</t>
    <phoneticPr fontId="4"/>
  </si>
  <si>
    <t>袋</t>
    <phoneticPr fontId="4"/>
  </si>
  <si>
    <t>本</t>
    <phoneticPr fontId="4"/>
  </si>
  <si>
    <t>本</t>
    <phoneticPr fontId="4"/>
  </si>
  <si>
    <t>袋</t>
    <phoneticPr fontId="4"/>
  </si>
  <si>
    <t>マルチスプレッダー</t>
    <phoneticPr fontId="4"/>
  </si>
  <si>
    <t>資材・農機具庫</t>
    <rPh sb="0" eb="2">
      <t>シザイ</t>
    </rPh>
    <rPh sb="3" eb="6">
      <t>ノウキグ</t>
    </rPh>
    <rPh sb="6" eb="7">
      <t>コ</t>
    </rPh>
    <phoneticPr fontId="4"/>
  </si>
  <si>
    <t>防除（防除機）</t>
    <rPh sb="0" eb="2">
      <t>ボウジョ</t>
    </rPh>
    <rPh sb="3" eb="5">
      <t>ボウジョ</t>
    </rPh>
    <rPh sb="5" eb="6">
      <t>キ</t>
    </rPh>
    <phoneticPr fontId="4"/>
  </si>
  <si>
    <t>運搬（軽トラック）</t>
    <rPh sb="0" eb="2">
      <t>ウンパン</t>
    </rPh>
    <rPh sb="3" eb="4">
      <t>ケイ</t>
    </rPh>
    <phoneticPr fontId="4"/>
  </si>
  <si>
    <t>運搬（トップカー）</t>
    <rPh sb="0" eb="2">
      <t>ウンパン</t>
    </rPh>
    <phoneticPr fontId="4"/>
  </si>
  <si>
    <t>灌水（灌水ポンプ）</t>
    <rPh sb="0" eb="2">
      <t>カンスイ</t>
    </rPh>
    <rPh sb="3" eb="5">
      <t>カンスイ</t>
    </rPh>
    <phoneticPr fontId="4"/>
  </si>
  <si>
    <t>草刈り機</t>
    <rPh sb="0" eb="2">
      <t>クサカ</t>
    </rPh>
    <rPh sb="3" eb="4">
      <t>キ</t>
    </rPh>
    <phoneticPr fontId="4"/>
  </si>
  <si>
    <t>畦焼き（バーナー）</t>
    <rPh sb="0" eb="1">
      <t>ウネ</t>
    </rPh>
    <rPh sb="1" eb="2">
      <t>ヤ</t>
    </rPh>
    <phoneticPr fontId="4"/>
  </si>
  <si>
    <t>保冷（予冷庫）</t>
    <rPh sb="0" eb="2">
      <t>ホレイ</t>
    </rPh>
    <rPh sb="3" eb="6">
      <t>ヨレイコ</t>
    </rPh>
    <phoneticPr fontId="4"/>
  </si>
  <si>
    <t>パイプハウス</t>
    <phoneticPr fontId="4"/>
  </si>
  <si>
    <t>収穫コンテナ</t>
    <rPh sb="0" eb="2">
      <t>シュウカク</t>
    </rPh>
    <phoneticPr fontId="4"/>
  </si>
  <si>
    <t>包丁</t>
    <rPh sb="0" eb="2">
      <t>ホウチョウ</t>
    </rPh>
    <phoneticPr fontId="4"/>
  </si>
  <si>
    <t>丁</t>
    <rPh sb="0" eb="1">
      <t>チョウ</t>
    </rPh>
    <phoneticPr fontId="4"/>
  </si>
  <si>
    <t>防除機(ﾏﾙﾁﾌﾟﾚｰﾔ)</t>
    <rPh sb="0" eb="2">
      <t>ボウジョ</t>
    </rPh>
    <rPh sb="2" eb="3">
      <t>キ</t>
    </rPh>
    <phoneticPr fontId="4"/>
  </si>
  <si>
    <t>運搬（軽トラック）</t>
    <rPh sb="0" eb="2">
      <t>ウンパン</t>
    </rPh>
    <rPh sb="3" eb="4">
      <t>ケイ</t>
    </rPh>
    <phoneticPr fontId="4"/>
  </si>
  <si>
    <t>運搬（トップカー）</t>
    <rPh sb="0" eb="2">
      <t>ウンパン</t>
    </rPh>
    <phoneticPr fontId="4"/>
  </si>
  <si>
    <t>灌水（かん水ポンプ）</t>
    <rPh sb="0" eb="2">
      <t>カンスイ</t>
    </rPh>
    <rPh sb="5" eb="6">
      <t>スイ</t>
    </rPh>
    <phoneticPr fontId="4"/>
  </si>
  <si>
    <t>草刈り機</t>
    <rPh sb="0" eb="2">
      <t>クサカ</t>
    </rPh>
    <rPh sb="3" eb="4">
      <t>キ</t>
    </rPh>
    <phoneticPr fontId="4"/>
  </si>
  <si>
    <t>ｍ</t>
    <phoneticPr fontId="4"/>
  </si>
  <si>
    <t>施設園芸共済</t>
    <rPh sb="0" eb="2">
      <t>シセツ</t>
    </rPh>
    <rPh sb="2" eb="4">
      <t>エンゲイ</t>
    </rPh>
    <rPh sb="4" eb="6">
      <t>キョウサイ</t>
    </rPh>
    <phoneticPr fontId="4"/>
  </si>
  <si>
    <t>ハウス</t>
    <phoneticPr fontId="4"/>
  </si>
  <si>
    <t>共選共販</t>
    <rPh sb="0" eb="2">
      <t>キョウセン</t>
    </rPh>
    <rPh sb="2" eb="4">
      <t>キョウハン</t>
    </rPh>
    <phoneticPr fontId="3"/>
  </si>
  <si>
    <t>4作業</t>
    <rPh sb="1" eb="3">
      <t>サギョウ</t>
    </rPh>
    <phoneticPr fontId="4"/>
  </si>
  <si>
    <t>H25年県内産地法人平均</t>
    <rPh sb="3" eb="4">
      <t>ネン</t>
    </rPh>
    <rPh sb="4" eb="6">
      <t>ケンナイ</t>
    </rPh>
    <rPh sb="6" eb="8">
      <t>サンチ</t>
    </rPh>
    <rPh sb="8" eb="10">
      <t>ホウジン</t>
    </rPh>
    <rPh sb="10" eb="12">
      <t>ヘイキン</t>
    </rPh>
    <phoneticPr fontId="4"/>
  </si>
  <si>
    <t>本作目
負担割合</t>
    <phoneticPr fontId="4"/>
  </si>
  <si>
    <t>①（円）</t>
    <phoneticPr fontId="4"/>
  </si>
  <si>
    <t>②（％）</t>
    <phoneticPr fontId="4"/>
  </si>
  <si>
    <t>④ （％）</t>
    <phoneticPr fontId="4"/>
  </si>
  <si>
    <t>⑤=③×④（円/ha）</t>
    <phoneticPr fontId="4"/>
  </si>
  <si>
    <t>⑥（％）</t>
    <phoneticPr fontId="4"/>
  </si>
  <si>
    <t>⑧（年）</t>
    <phoneticPr fontId="4"/>
  </si>
  <si>
    <t>⑨＝（⑤－⑦）÷⑧（円/ha）</t>
    <phoneticPr fontId="4"/>
  </si>
  <si>
    <t>ハウスアスパラガス1.3ha</t>
    <phoneticPr fontId="4"/>
  </si>
  <si>
    <t>露地アスパラガス2ha</t>
    <rPh sb="0" eb="2">
      <t>ロジ</t>
    </rPh>
    <phoneticPr fontId="4"/>
  </si>
  <si>
    <t>パイプハウス</t>
    <phoneticPr fontId="4"/>
  </si>
  <si>
    <t>㎡</t>
    <phoneticPr fontId="4"/>
  </si>
  <si>
    <t>水稲26.7ｈａ</t>
    <rPh sb="0" eb="2">
      <t>スイトウ</t>
    </rPh>
    <phoneticPr fontId="4"/>
  </si>
  <si>
    <t>ハウスアスパラガス1.3</t>
    <phoneticPr fontId="4"/>
  </si>
  <si>
    <t>水稲26.7ha</t>
    <rPh sb="0" eb="2">
      <t>スイトウ</t>
    </rPh>
    <phoneticPr fontId="4"/>
  </si>
  <si>
    <t>46psキャビン付（ﾛｰﾀﾘｰ）</t>
    <phoneticPr fontId="4"/>
  </si>
  <si>
    <r>
      <t>2.</t>
    </r>
    <r>
      <rPr>
        <sz val="11"/>
        <rFont val="ＭＳ Ｐゴシック"/>
        <family val="3"/>
        <charset val="128"/>
      </rPr>
      <t>8</t>
    </r>
    <r>
      <rPr>
        <sz val="11"/>
        <rFont val="ＭＳ Ｐゴシック"/>
        <family val="3"/>
        <charset val="128"/>
      </rPr>
      <t>m幅</t>
    </r>
    <phoneticPr fontId="4"/>
  </si>
  <si>
    <t>ブロードキャスター</t>
    <phoneticPr fontId="4"/>
  </si>
  <si>
    <t>400リットル</t>
    <phoneticPr fontId="4"/>
  </si>
  <si>
    <t>480箱／回，フォークリフト</t>
    <phoneticPr fontId="4"/>
  </si>
  <si>
    <t>ハウスアスパラガス1.3</t>
    <phoneticPr fontId="4"/>
  </si>
  <si>
    <t>マルチスプレッダ</t>
    <phoneticPr fontId="4"/>
  </si>
  <si>
    <t>アスパラガス</t>
    <phoneticPr fontId="4"/>
  </si>
  <si>
    <t>ハウスアスパラガス1.3</t>
    <phoneticPr fontId="4"/>
  </si>
  <si>
    <t>トップカー</t>
    <phoneticPr fontId="4"/>
  </si>
  <si>
    <t>バーナー</t>
    <phoneticPr fontId="4"/>
  </si>
  <si>
    <t>アスパラガス3.3ha</t>
    <phoneticPr fontId="4"/>
  </si>
  <si>
    <t>　　合　　計</t>
    <phoneticPr fontId="4"/>
  </si>
  <si>
    <t>※６　固定資本装備と減価償却費シート参照</t>
    <rPh sb="3" eb="5">
      <t>コテイ</t>
    </rPh>
    <rPh sb="5" eb="7">
      <t>シホン</t>
    </rPh>
    <rPh sb="7" eb="9">
      <t>ソウビ</t>
    </rPh>
    <rPh sb="10" eb="12">
      <t>ゲンカ</t>
    </rPh>
    <rPh sb="12" eb="14">
      <t>ショウキャク</t>
    </rPh>
    <rPh sb="14" eb="15">
      <t>ヒ</t>
    </rPh>
    <rPh sb="18" eb="20">
      <t>サンショウ</t>
    </rPh>
    <phoneticPr fontId="4"/>
  </si>
  <si>
    <t>水稲27ha＋ハウスアスパラガス1ha
＋露地アスパラガス2ha</t>
    <rPh sb="0" eb="2">
      <t>スイトウ</t>
    </rPh>
    <rPh sb="21" eb="23">
      <t>ロジ</t>
    </rPh>
    <phoneticPr fontId="3"/>
  </si>
  <si>
    <t>耕起（トラクター）</t>
    <rPh sb="0" eb="2">
      <t>コウキ</t>
    </rPh>
    <phoneticPr fontId="4"/>
  </si>
  <si>
    <t>代かき（トラクター）</t>
    <rPh sb="0" eb="1">
      <t>シロ</t>
    </rPh>
    <phoneticPr fontId="4"/>
  </si>
  <si>
    <t>資材散布（トラクター，ブロードﾟｷｬｽﾀｰ）</t>
    <rPh sb="0" eb="2">
      <t>シザイ</t>
    </rPh>
    <rPh sb="2" eb="4">
      <t>サンプ</t>
    </rPh>
    <phoneticPr fontId="4"/>
  </si>
  <si>
    <t>収穫（コンバイン）</t>
    <rPh sb="0" eb="2">
      <t>シュウカク</t>
    </rPh>
    <phoneticPr fontId="4"/>
  </si>
  <si>
    <t>防除（管理ビーグル）</t>
    <rPh sb="0" eb="2">
      <t>ボウジョ</t>
    </rPh>
    <rPh sb="3" eb="5">
      <t>カンリ</t>
    </rPh>
    <phoneticPr fontId="4"/>
  </si>
  <si>
    <t>田植（田植機）</t>
    <rPh sb="0" eb="2">
      <t>タウエ</t>
    </rPh>
    <rPh sb="3" eb="5">
      <t>タウ</t>
    </rPh>
    <rPh sb="5" eb="6">
      <t>キ</t>
    </rPh>
    <phoneticPr fontId="4"/>
  </si>
  <si>
    <t>乾燥（乾燥機）</t>
    <rPh sb="0" eb="2">
      <t>カンソウ</t>
    </rPh>
    <rPh sb="3" eb="6">
      <t>カンソウキ</t>
    </rPh>
    <phoneticPr fontId="4"/>
  </si>
  <si>
    <t>調製（籾摺機）</t>
    <rPh sb="0" eb="2">
      <t>チョウセイ</t>
    </rPh>
    <rPh sb="3" eb="4">
      <t>モミ</t>
    </rPh>
    <rPh sb="4" eb="5">
      <t>スリ</t>
    </rPh>
    <rPh sb="5" eb="6">
      <t>キ</t>
    </rPh>
    <phoneticPr fontId="4"/>
  </si>
  <si>
    <t>育苗（育苗関連機器）</t>
    <rPh sb="0" eb="2">
      <t>イクビョウ</t>
    </rPh>
    <rPh sb="3" eb="5">
      <t>イクビョウ</t>
    </rPh>
    <rPh sb="5" eb="7">
      <t>カンレン</t>
    </rPh>
    <rPh sb="7" eb="9">
      <t>キキ</t>
    </rPh>
    <phoneticPr fontId="4"/>
  </si>
  <si>
    <r>
      <t>土づくり(</t>
    </r>
    <r>
      <rPr>
        <sz val="11"/>
        <rFont val="ＭＳ Ｐゴシック"/>
        <family val="3"/>
        <charset val="128"/>
      </rPr>
      <t>マルチスプレッダ)</t>
    </r>
    <rPh sb="0" eb="1">
      <t>ツチ</t>
    </rPh>
    <phoneticPr fontId="4"/>
  </si>
  <si>
    <t>ハウス・露地</t>
    <rPh sb="4" eb="6">
      <t>ロジ</t>
    </rPh>
    <phoneticPr fontId="4"/>
  </si>
  <si>
    <t>広島中央卸売市場5ヵ年平均</t>
    <phoneticPr fontId="4"/>
  </si>
  <si>
    <t>ハウスアスパラガス3ｈａ</t>
    <phoneticPr fontId="4"/>
  </si>
  <si>
    <t>肥料
　基肥一発型緩効性肥料　350kg～550kg
箱施用剤　
除草剤　</t>
    <rPh sb="0" eb="2">
      <t>ヒリョウ</t>
    </rPh>
    <rPh sb="4" eb="6">
      <t>モトゴエ</t>
    </rPh>
    <rPh sb="6" eb="8">
      <t>イッパツ</t>
    </rPh>
    <rPh sb="8" eb="9">
      <t>カタ</t>
    </rPh>
    <rPh sb="9" eb="12">
      <t>カンコウセイ</t>
    </rPh>
    <rPh sb="12" eb="14">
      <t>ヒリョウ</t>
    </rPh>
    <rPh sb="27" eb="28">
      <t>ハコ</t>
    </rPh>
    <rPh sb="28" eb="30">
      <t>セヨウ</t>
    </rPh>
    <rPh sb="30" eb="31">
      <t>ザイ</t>
    </rPh>
    <rPh sb="33" eb="36">
      <t>ジョソウザイ</t>
    </rPh>
    <phoneticPr fontId="4"/>
  </si>
  <si>
    <t xml:space="preserve">
塩水選-種子消毒-浸種-催芽（鳩胸）
土入れ（床土）-は種-床土の消毒-覆土-育苗器で加温
出芽-緑化-硬化</t>
    <rPh sb="1" eb="2">
      <t>シオ</t>
    </rPh>
    <rPh sb="2" eb="3">
      <t>ミズ</t>
    </rPh>
    <rPh sb="3" eb="4">
      <t>セン</t>
    </rPh>
    <rPh sb="5" eb="7">
      <t>シュシ</t>
    </rPh>
    <rPh sb="7" eb="9">
      <t>ショウドク</t>
    </rPh>
    <rPh sb="10" eb="12">
      <t>シンシュ</t>
    </rPh>
    <rPh sb="13" eb="14">
      <t>サイ</t>
    </rPh>
    <rPh sb="14" eb="15">
      <t>メ</t>
    </rPh>
    <rPh sb="16" eb="18">
      <t>ハトムネ</t>
    </rPh>
    <rPh sb="20" eb="21">
      <t>ツチ</t>
    </rPh>
    <rPh sb="21" eb="22">
      <t>イ</t>
    </rPh>
    <rPh sb="24" eb="25">
      <t>トコ</t>
    </rPh>
    <rPh sb="25" eb="26">
      <t>ツチ</t>
    </rPh>
    <rPh sb="29" eb="30">
      <t>シュ</t>
    </rPh>
    <rPh sb="31" eb="32">
      <t>トコ</t>
    </rPh>
    <rPh sb="32" eb="33">
      <t>ツチ</t>
    </rPh>
    <rPh sb="34" eb="36">
      <t>ショウドク</t>
    </rPh>
    <rPh sb="37" eb="39">
      <t>フクド</t>
    </rPh>
    <rPh sb="40" eb="42">
      <t>イクビョウ</t>
    </rPh>
    <rPh sb="42" eb="43">
      <t>キ</t>
    </rPh>
    <rPh sb="44" eb="46">
      <t>カオン</t>
    </rPh>
    <rPh sb="47" eb="49">
      <t>シュツガ</t>
    </rPh>
    <rPh sb="50" eb="52">
      <t>リョッカ</t>
    </rPh>
    <rPh sb="53" eb="55">
      <t>コウカ</t>
    </rPh>
    <phoneticPr fontId="4"/>
  </si>
  <si>
    <t xml:space="preserve">
耕起する。
入水後代かきを2回する。</t>
    <rPh sb="1" eb="3">
      <t>コウキ</t>
    </rPh>
    <rPh sb="7" eb="9">
      <t>ニュウスイ</t>
    </rPh>
    <rPh sb="9" eb="10">
      <t>ゴ</t>
    </rPh>
    <rPh sb="10" eb="11">
      <t>シロ</t>
    </rPh>
    <rPh sb="15" eb="16">
      <t>カイ</t>
    </rPh>
    <phoneticPr fontId="4"/>
  </si>
  <si>
    <t xml:space="preserve">
田植機（肥料、箱施用剤、除草剤散布機付）で移植する。</t>
    <rPh sb="1" eb="3">
      <t>タウエ</t>
    </rPh>
    <rPh sb="3" eb="4">
      <t>キ</t>
    </rPh>
    <rPh sb="5" eb="7">
      <t>ヒリョウ</t>
    </rPh>
    <rPh sb="8" eb="9">
      <t>ハコ</t>
    </rPh>
    <rPh sb="9" eb="11">
      <t>セヨウ</t>
    </rPh>
    <rPh sb="11" eb="12">
      <t>ザイ</t>
    </rPh>
    <rPh sb="13" eb="15">
      <t>ジョソウ</t>
    </rPh>
    <rPh sb="15" eb="16">
      <t>ザイ</t>
    </rPh>
    <rPh sb="16" eb="18">
      <t>サンプ</t>
    </rPh>
    <rPh sb="18" eb="19">
      <t>キ</t>
    </rPh>
    <rPh sb="19" eb="20">
      <t>ツキ</t>
    </rPh>
    <rPh sb="22" eb="24">
      <t>イショク</t>
    </rPh>
    <phoneticPr fontId="4"/>
  </si>
  <si>
    <t xml:space="preserve">
雑草が多い場合は、水稲生育期に除草剤を散布する。</t>
    <rPh sb="1" eb="3">
      <t>ザッソウ</t>
    </rPh>
    <rPh sb="4" eb="5">
      <t>オオ</t>
    </rPh>
    <rPh sb="6" eb="8">
      <t>バアイ</t>
    </rPh>
    <rPh sb="10" eb="12">
      <t>スイトウ</t>
    </rPh>
    <rPh sb="12" eb="14">
      <t>セイイク</t>
    </rPh>
    <rPh sb="14" eb="15">
      <t>キ</t>
    </rPh>
    <rPh sb="16" eb="19">
      <t>ジョソウザイ</t>
    </rPh>
    <rPh sb="20" eb="22">
      <t>サンプ</t>
    </rPh>
    <phoneticPr fontId="4"/>
  </si>
  <si>
    <t xml:space="preserve">
活着するまで深水管理
初期生育期から最高分げつ期まで間断かんがい
無効分げつ期頃中干し
幼穂形成期以降間断かんがい
出穂後２５日から３０日頃落水</t>
    <rPh sb="1" eb="2">
      <t>カツ</t>
    </rPh>
    <rPh sb="2" eb="3">
      <t>チャク</t>
    </rPh>
    <rPh sb="7" eb="8">
      <t>フカ</t>
    </rPh>
    <rPh sb="8" eb="9">
      <t>ミズ</t>
    </rPh>
    <rPh sb="9" eb="11">
      <t>カンリ</t>
    </rPh>
    <rPh sb="12" eb="14">
      <t>ショキ</t>
    </rPh>
    <rPh sb="14" eb="16">
      <t>セイイク</t>
    </rPh>
    <rPh sb="16" eb="17">
      <t>キ</t>
    </rPh>
    <rPh sb="19" eb="21">
      <t>サイコウ</t>
    </rPh>
    <rPh sb="21" eb="22">
      <t>ブン</t>
    </rPh>
    <rPh sb="24" eb="25">
      <t>キ</t>
    </rPh>
    <rPh sb="27" eb="29">
      <t>カンダン</t>
    </rPh>
    <rPh sb="34" eb="36">
      <t>ムコウ</t>
    </rPh>
    <rPh sb="36" eb="37">
      <t>ブン</t>
    </rPh>
    <rPh sb="39" eb="40">
      <t>キ</t>
    </rPh>
    <rPh sb="40" eb="41">
      <t>コロ</t>
    </rPh>
    <rPh sb="41" eb="42">
      <t>ナカ</t>
    </rPh>
    <rPh sb="42" eb="43">
      <t>ホ</t>
    </rPh>
    <rPh sb="45" eb="46">
      <t>ヨウ</t>
    </rPh>
    <rPh sb="46" eb="47">
      <t>ホ</t>
    </rPh>
    <rPh sb="47" eb="50">
      <t>ケイセイキ</t>
    </rPh>
    <rPh sb="50" eb="52">
      <t>イコウ</t>
    </rPh>
    <rPh sb="52" eb="54">
      <t>カンダン</t>
    </rPh>
    <rPh sb="59" eb="60">
      <t>デ</t>
    </rPh>
    <rPh sb="60" eb="61">
      <t>ホ</t>
    </rPh>
    <rPh sb="61" eb="62">
      <t>ゴ</t>
    </rPh>
    <rPh sb="64" eb="65">
      <t>ヒ</t>
    </rPh>
    <rPh sb="69" eb="70">
      <t>ヒ</t>
    </rPh>
    <rPh sb="70" eb="71">
      <t>コロ</t>
    </rPh>
    <rPh sb="71" eb="73">
      <t>ラクスイ</t>
    </rPh>
    <phoneticPr fontId="4"/>
  </si>
  <si>
    <t xml:space="preserve">
いもち病
紋枯病
セジロウンカ
トビイロウンカ
カメムシ類
等病害虫防除</t>
    <rPh sb="4" eb="5">
      <t>ビョウ</t>
    </rPh>
    <rPh sb="6" eb="7">
      <t>モン</t>
    </rPh>
    <rPh sb="7" eb="8">
      <t>ガ</t>
    </rPh>
    <rPh sb="8" eb="9">
      <t>ビョウ</t>
    </rPh>
    <rPh sb="29" eb="30">
      <t>ルイ</t>
    </rPh>
    <phoneticPr fontId="4"/>
  </si>
  <si>
    <t xml:space="preserve">
コンバインによる収穫
乾燥機による生籾乾燥
籾摺り、石抜き、色彩選別機による調製</t>
    <rPh sb="9" eb="11">
      <t>シュウカク</t>
    </rPh>
    <rPh sb="12" eb="15">
      <t>カンソウキ</t>
    </rPh>
    <rPh sb="18" eb="19">
      <t>ナマ</t>
    </rPh>
    <rPh sb="19" eb="20">
      <t>モミ</t>
    </rPh>
    <rPh sb="20" eb="22">
      <t>カンソウ</t>
    </rPh>
    <rPh sb="23" eb="25">
      <t>モミス</t>
    </rPh>
    <rPh sb="27" eb="28">
      <t>イシ</t>
    </rPh>
    <rPh sb="28" eb="29">
      <t>ヌ</t>
    </rPh>
    <rPh sb="31" eb="33">
      <t>シキサイ</t>
    </rPh>
    <rPh sb="33" eb="35">
      <t>センベツ</t>
    </rPh>
    <rPh sb="35" eb="36">
      <t>キ</t>
    </rPh>
    <rPh sb="39" eb="41">
      <t>チョウセイ</t>
    </rPh>
    <phoneticPr fontId="4"/>
  </si>
  <si>
    <t xml:space="preserve">
土づくり肥料を散布して耕起する。</t>
    <rPh sb="1" eb="2">
      <t>ツチ</t>
    </rPh>
    <rPh sb="5" eb="7">
      <t>ヒリョウ</t>
    </rPh>
    <rPh sb="8" eb="10">
      <t>サンプ</t>
    </rPh>
    <rPh sb="12" eb="14">
      <t>コウキ</t>
    </rPh>
    <phoneticPr fontId="4"/>
  </si>
  <si>
    <t xml:space="preserve">
　塩水選、種子消毒の実施
　適正な温度管理
　は種量の適正化</t>
    <rPh sb="2" eb="3">
      <t>シオ</t>
    </rPh>
    <rPh sb="3" eb="4">
      <t>ミズ</t>
    </rPh>
    <rPh sb="4" eb="5">
      <t>セン</t>
    </rPh>
    <rPh sb="6" eb="8">
      <t>シュシ</t>
    </rPh>
    <rPh sb="8" eb="10">
      <t>ショウドク</t>
    </rPh>
    <rPh sb="11" eb="13">
      <t>ジッシ</t>
    </rPh>
    <rPh sb="15" eb="17">
      <t>テキセイ</t>
    </rPh>
    <rPh sb="18" eb="20">
      <t>オンド</t>
    </rPh>
    <rPh sb="20" eb="22">
      <t>カンリ</t>
    </rPh>
    <rPh sb="25" eb="26">
      <t>シュ</t>
    </rPh>
    <rPh sb="26" eb="27">
      <t>リョウ</t>
    </rPh>
    <rPh sb="28" eb="30">
      <t>テキセイ</t>
    </rPh>
    <rPh sb="30" eb="31">
      <t>カ</t>
    </rPh>
    <phoneticPr fontId="4"/>
  </si>
  <si>
    <t xml:space="preserve">
田面の均平化</t>
    <rPh sb="1" eb="2">
      <t>タ</t>
    </rPh>
    <rPh sb="2" eb="3">
      <t>メン</t>
    </rPh>
    <rPh sb="4" eb="5">
      <t>ヒトシ</t>
    </rPh>
    <rPh sb="5" eb="6">
      <t>ヘイ</t>
    </rPh>
    <rPh sb="6" eb="7">
      <t>カ</t>
    </rPh>
    <phoneticPr fontId="4"/>
  </si>
  <si>
    <t xml:space="preserve">
適期田植
適正な栽植密度</t>
    <rPh sb="1" eb="3">
      <t>テッキ</t>
    </rPh>
    <rPh sb="3" eb="5">
      <t>タウ</t>
    </rPh>
    <rPh sb="6" eb="8">
      <t>テキセイ</t>
    </rPh>
    <rPh sb="9" eb="11">
      <t>サイショク</t>
    </rPh>
    <rPh sb="11" eb="13">
      <t>ミツド</t>
    </rPh>
    <phoneticPr fontId="4"/>
  </si>
  <si>
    <t xml:space="preserve">
適正な水管理
使用薬量を均一に散布</t>
    <rPh sb="1" eb="3">
      <t>テキセイ</t>
    </rPh>
    <rPh sb="4" eb="5">
      <t>ミズ</t>
    </rPh>
    <rPh sb="5" eb="7">
      <t>カンリ</t>
    </rPh>
    <rPh sb="8" eb="10">
      <t>シヨウ</t>
    </rPh>
    <rPh sb="10" eb="11">
      <t>ヤク</t>
    </rPh>
    <rPh sb="11" eb="12">
      <t>リョウ</t>
    </rPh>
    <rPh sb="13" eb="15">
      <t>キンイツ</t>
    </rPh>
    <rPh sb="16" eb="18">
      <t>サンプ</t>
    </rPh>
    <phoneticPr fontId="4"/>
  </si>
  <si>
    <t xml:space="preserve">
間断かんがい、中干しの実施
適期落水の実施</t>
    <rPh sb="1" eb="3">
      <t>カンダン</t>
    </rPh>
    <rPh sb="8" eb="9">
      <t>ナカ</t>
    </rPh>
    <rPh sb="9" eb="10">
      <t>ホ</t>
    </rPh>
    <rPh sb="12" eb="14">
      <t>ジッシ</t>
    </rPh>
    <rPh sb="15" eb="17">
      <t>テッキ</t>
    </rPh>
    <rPh sb="17" eb="19">
      <t>ラクスイ</t>
    </rPh>
    <rPh sb="20" eb="22">
      <t>ジッシ</t>
    </rPh>
    <phoneticPr fontId="4"/>
  </si>
  <si>
    <t xml:space="preserve">
適期防除</t>
    <rPh sb="1" eb="3">
      <t>テッキ</t>
    </rPh>
    <rPh sb="3" eb="5">
      <t>ボウジョ</t>
    </rPh>
    <phoneticPr fontId="4"/>
  </si>
  <si>
    <t xml:space="preserve">
適期刈取
適正な乾燥調製</t>
    <rPh sb="1" eb="3">
      <t>テッキ</t>
    </rPh>
    <rPh sb="3" eb="5">
      <t>カリト</t>
    </rPh>
    <rPh sb="6" eb="8">
      <t>テキセイ</t>
    </rPh>
    <rPh sb="9" eb="11">
      <t>カンソウ</t>
    </rPh>
    <rPh sb="11" eb="13">
      <t>チョウセイ</t>
    </rPh>
    <phoneticPr fontId="4"/>
  </si>
  <si>
    <t xml:space="preserve">
　稲わらの早期鋤き込み
　土づくりの実施</t>
    <rPh sb="2" eb="3">
      <t>イネ</t>
    </rPh>
    <rPh sb="6" eb="8">
      <t>ソウキ</t>
    </rPh>
    <rPh sb="8" eb="9">
      <t>ス</t>
    </rPh>
    <rPh sb="10" eb="11">
      <t>コ</t>
    </rPh>
    <rPh sb="14" eb="15">
      <t>ツチ</t>
    </rPh>
    <rPh sb="19" eb="21">
      <t>ジッシ</t>
    </rPh>
    <phoneticPr fontId="4"/>
  </si>
  <si>
    <t xml:space="preserve">
土づくり肥料等を散布して耕起する。
入水後代かきする。</t>
    <rPh sb="1" eb="2">
      <t>ツチ</t>
    </rPh>
    <rPh sb="5" eb="7">
      <t>ヒリョウ</t>
    </rPh>
    <rPh sb="7" eb="8">
      <t>トウ</t>
    </rPh>
    <rPh sb="9" eb="11">
      <t>サンプ</t>
    </rPh>
    <rPh sb="13" eb="15">
      <t>コウキ</t>
    </rPh>
    <rPh sb="19" eb="21">
      <t>ニュウスイ</t>
    </rPh>
    <rPh sb="21" eb="22">
      <t>ゴ</t>
    </rPh>
    <rPh sb="22" eb="23">
      <t>シロ</t>
    </rPh>
    <phoneticPr fontId="4"/>
  </si>
  <si>
    <t xml:space="preserve">
稲わらの早期鋤き込み
土づくりの実施</t>
    <rPh sb="1" eb="2">
      <t>イネ</t>
    </rPh>
    <rPh sb="5" eb="7">
      <t>ソウキ</t>
    </rPh>
    <rPh sb="7" eb="8">
      <t>ス</t>
    </rPh>
    <rPh sb="9" eb="10">
      <t>コ</t>
    </rPh>
    <rPh sb="12" eb="13">
      <t>ツチ</t>
    </rPh>
    <rPh sb="17" eb="19">
      <t>ジッシ</t>
    </rPh>
    <phoneticPr fontId="4"/>
  </si>
  <si>
    <t xml:space="preserve">
　畦表面のアスパラガス残さを焼き払い，茎枯病等の病害を防止する。</t>
    <rPh sb="2" eb="3">
      <t>ウネ</t>
    </rPh>
    <rPh sb="3" eb="5">
      <t>ヒョウメン</t>
    </rPh>
    <rPh sb="12" eb="13">
      <t>ザン</t>
    </rPh>
    <rPh sb="15" eb="16">
      <t>ヤ</t>
    </rPh>
    <rPh sb="17" eb="18">
      <t>ハラ</t>
    </rPh>
    <rPh sb="20" eb="21">
      <t>クキ</t>
    </rPh>
    <rPh sb="21" eb="22">
      <t>カ</t>
    </rPh>
    <rPh sb="22" eb="23">
      <t>ビョウ</t>
    </rPh>
    <rPh sb="23" eb="24">
      <t>トウ</t>
    </rPh>
    <rPh sb="25" eb="27">
      <t>ビョウガイ</t>
    </rPh>
    <rPh sb="28" eb="30">
      <t>ボウシ</t>
    </rPh>
    <phoneticPr fontId="4"/>
  </si>
  <si>
    <t xml:space="preserve">
　緩効性肥料を活用し，省力化を図る。</t>
    <rPh sb="2" eb="3">
      <t>ユル</t>
    </rPh>
    <rPh sb="3" eb="4">
      <t>キ</t>
    </rPh>
    <rPh sb="4" eb="5">
      <t>セイ</t>
    </rPh>
    <rPh sb="5" eb="7">
      <t>ヒリョウ</t>
    </rPh>
    <rPh sb="8" eb="10">
      <t>カツヨウ</t>
    </rPh>
    <rPh sb="12" eb="15">
      <t>ショウリョクカ</t>
    </rPh>
    <rPh sb="16" eb="17">
      <t>ハカ</t>
    </rPh>
    <phoneticPr fontId="4"/>
  </si>
  <si>
    <t xml:space="preserve">
　畦表面を堆肥で覆うことにより，茎枯病，雑草繁茂，畦内部の乾燥を防止するとともに，土づくりを行う。</t>
    <rPh sb="2" eb="3">
      <t>ウネ</t>
    </rPh>
    <rPh sb="3" eb="5">
      <t>ヒョウメン</t>
    </rPh>
    <rPh sb="6" eb="8">
      <t>タイヒ</t>
    </rPh>
    <rPh sb="9" eb="10">
      <t>オオ</t>
    </rPh>
    <rPh sb="17" eb="18">
      <t>クキ</t>
    </rPh>
    <rPh sb="18" eb="19">
      <t>カ</t>
    </rPh>
    <rPh sb="19" eb="20">
      <t>ビョウ</t>
    </rPh>
    <rPh sb="21" eb="23">
      <t>ザッソウ</t>
    </rPh>
    <rPh sb="23" eb="25">
      <t>ハンモ</t>
    </rPh>
    <rPh sb="26" eb="27">
      <t>ウネ</t>
    </rPh>
    <rPh sb="27" eb="29">
      <t>ナイブ</t>
    </rPh>
    <rPh sb="30" eb="32">
      <t>カンソウ</t>
    </rPh>
    <rPh sb="33" eb="35">
      <t>ボウシ</t>
    </rPh>
    <rPh sb="42" eb="43">
      <t>ツチ</t>
    </rPh>
    <rPh sb="47" eb="48">
      <t>オコナ</t>
    </rPh>
    <phoneticPr fontId="4"/>
  </si>
  <si>
    <t xml:space="preserve">
３月～４月はパオパオを使用した２重被覆を実施する。夜温が10℃を超えるまでは夜間はサイドビニールを下して保温する。</t>
    <rPh sb="2" eb="3">
      <t>ガツ</t>
    </rPh>
    <rPh sb="5" eb="6">
      <t>ガツ</t>
    </rPh>
    <rPh sb="12" eb="14">
      <t>シヨウ</t>
    </rPh>
    <rPh sb="17" eb="18">
      <t>ジュウ</t>
    </rPh>
    <rPh sb="18" eb="20">
      <t>ヒフク</t>
    </rPh>
    <rPh sb="21" eb="23">
      <t>ジッシ</t>
    </rPh>
    <rPh sb="26" eb="28">
      <t>ヤオン</t>
    </rPh>
    <rPh sb="33" eb="34">
      <t>コ</t>
    </rPh>
    <rPh sb="39" eb="41">
      <t>ヤカン</t>
    </rPh>
    <rPh sb="50" eb="51">
      <t>オロ</t>
    </rPh>
    <rPh sb="53" eb="55">
      <t>ホオン</t>
    </rPh>
    <phoneticPr fontId="4"/>
  </si>
  <si>
    <t xml:space="preserve">
　低温期は1回／日、高温期は朝夕２回／日収穫とする。</t>
    <rPh sb="2" eb="4">
      <t>テイオン</t>
    </rPh>
    <rPh sb="4" eb="5">
      <t>キ</t>
    </rPh>
    <rPh sb="7" eb="8">
      <t>カイ</t>
    </rPh>
    <rPh sb="9" eb="10">
      <t>ニチ</t>
    </rPh>
    <rPh sb="11" eb="13">
      <t>コウオン</t>
    </rPh>
    <rPh sb="13" eb="14">
      <t>キ</t>
    </rPh>
    <rPh sb="15" eb="16">
      <t>アサ</t>
    </rPh>
    <rPh sb="16" eb="17">
      <t>ユウ</t>
    </rPh>
    <rPh sb="18" eb="19">
      <t>カイ</t>
    </rPh>
    <rPh sb="20" eb="21">
      <t>ニチ</t>
    </rPh>
    <rPh sb="21" eb="23">
      <t>シュウカク</t>
    </rPh>
    <phoneticPr fontId="4"/>
  </si>
  <si>
    <t xml:space="preserve">
　春芽を30日程度収穫後，Lサイズの若芽（直径12～14mm）を畦1mあたり10本程度を立茎させる。畦にできるだけ均一に立茎が配置するよう調整する。</t>
    <rPh sb="2" eb="3">
      <t>ハル</t>
    </rPh>
    <rPh sb="3" eb="4">
      <t>メ</t>
    </rPh>
    <rPh sb="7" eb="8">
      <t>ニチ</t>
    </rPh>
    <rPh sb="8" eb="10">
      <t>テイド</t>
    </rPh>
    <rPh sb="10" eb="12">
      <t>シュウカク</t>
    </rPh>
    <rPh sb="12" eb="13">
      <t>ゴ</t>
    </rPh>
    <rPh sb="19" eb="20">
      <t>ワカ</t>
    </rPh>
    <rPh sb="20" eb="21">
      <t>メ</t>
    </rPh>
    <rPh sb="22" eb="24">
      <t>チョッケイ</t>
    </rPh>
    <rPh sb="33" eb="34">
      <t>ウネ</t>
    </rPh>
    <rPh sb="41" eb="42">
      <t>ホン</t>
    </rPh>
    <rPh sb="42" eb="44">
      <t>テイド</t>
    </rPh>
    <rPh sb="45" eb="46">
      <t>タ</t>
    </rPh>
    <rPh sb="46" eb="47">
      <t>クキ</t>
    </rPh>
    <rPh sb="51" eb="52">
      <t>ウネ</t>
    </rPh>
    <rPh sb="58" eb="60">
      <t>キンイツ</t>
    </rPh>
    <rPh sb="61" eb="62">
      <t>タ</t>
    </rPh>
    <rPh sb="62" eb="63">
      <t>クキ</t>
    </rPh>
    <rPh sb="64" eb="66">
      <t>ハイチ</t>
    </rPh>
    <rPh sb="70" eb="72">
      <t>チョウセイ</t>
    </rPh>
    <phoneticPr fontId="4"/>
  </si>
  <si>
    <t xml:space="preserve">
　少量多潅水を基本に，畦内部の水分量を確認しながら潅水を行う。</t>
    <rPh sb="2" eb="4">
      <t>ショウリョウ</t>
    </rPh>
    <rPh sb="4" eb="5">
      <t>タ</t>
    </rPh>
    <rPh sb="5" eb="7">
      <t>カンスイ</t>
    </rPh>
    <rPh sb="8" eb="10">
      <t>キホン</t>
    </rPh>
    <rPh sb="12" eb="13">
      <t>ウネ</t>
    </rPh>
    <rPh sb="13" eb="15">
      <t>ナイブ</t>
    </rPh>
    <rPh sb="16" eb="18">
      <t>スイブン</t>
    </rPh>
    <rPh sb="18" eb="19">
      <t>リョウ</t>
    </rPh>
    <rPh sb="20" eb="22">
      <t>カクニン</t>
    </rPh>
    <rPh sb="26" eb="28">
      <t>カンスイ</t>
    </rPh>
    <rPh sb="29" eb="30">
      <t>オコナ</t>
    </rPh>
    <phoneticPr fontId="4"/>
  </si>
  <si>
    <t xml:space="preserve">
　定期的に殺菌剤，殺虫剤の散布を行う。</t>
    <rPh sb="2" eb="5">
      <t>テイキテキ</t>
    </rPh>
    <rPh sb="6" eb="9">
      <t>サッキンザイ</t>
    </rPh>
    <rPh sb="10" eb="13">
      <t>サッチュウザイ</t>
    </rPh>
    <rPh sb="14" eb="16">
      <t>サンプ</t>
    </rPh>
    <rPh sb="17" eb="18">
      <t>オコナ</t>
    </rPh>
    <phoneticPr fontId="4"/>
  </si>
  <si>
    <t xml:space="preserve">
　親茎を地際で刈り払い，トップカーによりハウス外に持ち出し，焼却または水田にすき込む。</t>
    <rPh sb="2" eb="3">
      <t>オヤ</t>
    </rPh>
    <rPh sb="3" eb="4">
      <t>クキ</t>
    </rPh>
    <rPh sb="5" eb="6">
      <t>チ</t>
    </rPh>
    <rPh sb="6" eb="7">
      <t>キワ</t>
    </rPh>
    <rPh sb="8" eb="9">
      <t>カ</t>
    </rPh>
    <rPh sb="10" eb="11">
      <t>ハラ</t>
    </rPh>
    <rPh sb="24" eb="25">
      <t>ガイ</t>
    </rPh>
    <rPh sb="26" eb="27">
      <t>モ</t>
    </rPh>
    <rPh sb="28" eb="29">
      <t>ダ</t>
    </rPh>
    <rPh sb="31" eb="33">
      <t>ショウキャク</t>
    </rPh>
    <rPh sb="36" eb="38">
      <t>スイデン</t>
    </rPh>
    <rPh sb="41" eb="42">
      <t>コ</t>
    </rPh>
    <phoneticPr fontId="4"/>
  </si>
  <si>
    <t xml:space="preserve">
前年の病害の発生程度により灯油の使用量を調節する。</t>
    <rPh sb="1" eb="3">
      <t>ゼンネン</t>
    </rPh>
    <rPh sb="4" eb="6">
      <t>ビョウガイ</t>
    </rPh>
    <rPh sb="7" eb="9">
      <t>ハッセイ</t>
    </rPh>
    <rPh sb="9" eb="11">
      <t>テイド</t>
    </rPh>
    <rPh sb="14" eb="16">
      <t>トウユ</t>
    </rPh>
    <rPh sb="17" eb="19">
      <t>シヨウ</t>
    </rPh>
    <rPh sb="19" eb="20">
      <t>リョウ</t>
    </rPh>
    <rPh sb="21" eb="23">
      <t>チョウセツ</t>
    </rPh>
    <phoneticPr fontId="4"/>
  </si>
  <si>
    <t xml:space="preserve">
収量が落ちる場合等，必要があれば追肥を行う（６～９月）。</t>
    <rPh sb="1" eb="3">
      <t>シュウリョウ</t>
    </rPh>
    <rPh sb="4" eb="5">
      <t>オ</t>
    </rPh>
    <rPh sb="7" eb="9">
      <t>バアイ</t>
    </rPh>
    <rPh sb="9" eb="10">
      <t>トウ</t>
    </rPh>
    <rPh sb="11" eb="13">
      <t>ヒツヨウ</t>
    </rPh>
    <rPh sb="17" eb="19">
      <t>ツイヒ</t>
    </rPh>
    <rPh sb="20" eb="21">
      <t>オコナ</t>
    </rPh>
    <rPh sb="26" eb="27">
      <t>ガツ</t>
    </rPh>
    <phoneticPr fontId="4"/>
  </si>
  <si>
    <t xml:space="preserve">
萌芽初めまでは，地温を上げるためにハウスを密閉し蒸し込む。
　積雪のある地帯は，支柱等で補強するか，ビニール除去（12月～2/中）</t>
    <rPh sb="1" eb="3">
      <t>ホウガ</t>
    </rPh>
    <rPh sb="3" eb="4">
      <t>ハジ</t>
    </rPh>
    <rPh sb="9" eb="11">
      <t>チオン</t>
    </rPh>
    <rPh sb="12" eb="13">
      <t>ア</t>
    </rPh>
    <rPh sb="22" eb="24">
      <t>ミッペイ</t>
    </rPh>
    <rPh sb="25" eb="26">
      <t>ム</t>
    </rPh>
    <rPh sb="27" eb="28">
      <t>コ</t>
    </rPh>
    <rPh sb="32" eb="34">
      <t>セキセツ</t>
    </rPh>
    <rPh sb="37" eb="39">
      <t>チタイ</t>
    </rPh>
    <rPh sb="41" eb="43">
      <t>シチュウ</t>
    </rPh>
    <rPh sb="43" eb="44">
      <t>トウ</t>
    </rPh>
    <rPh sb="45" eb="47">
      <t>ホキョウ</t>
    </rPh>
    <rPh sb="55" eb="57">
      <t>ジョキョ</t>
    </rPh>
    <rPh sb="60" eb="61">
      <t>ガツ</t>
    </rPh>
    <rPh sb="64" eb="65">
      <t>チュウ</t>
    </rPh>
    <phoneticPr fontId="4"/>
  </si>
  <si>
    <t xml:space="preserve">
穂先の開き等の品質低下に合わせて収穫回数を切り替える。</t>
    <rPh sb="1" eb="3">
      <t>ホサキ</t>
    </rPh>
    <rPh sb="4" eb="5">
      <t>ヒラ</t>
    </rPh>
    <rPh sb="6" eb="7">
      <t>トウ</t>
    </rPh>
    <rPh sb="8" eb="10">
      <t>ヒンシツ</t>
    </rPh>
    <rPh sb="10" eb="12">
      <t>テイカ</t>
    </rPh>
    <rPh sb="13" eb="14">
      <t>ア</t>
    </rPh>
    <rPh sb="17" eb="19">
      <t>シュウカク</t>
    </rPh>
    <rPh sb="19" eb="21">
      <t>カイスウ</t>
    </rPh>
    <rPh sb="22" eb="23">
      <t>キ</t>
    </rPh>
    <rPh sb="24" eb="25">
      <t>カ</t>
    </rPh>
    <phoneticPr fontId="4"/>
  </si>
  <si>
    <t xml:space="preserve">
前年の生育状況，春芽の収量・太さ等を考慮し，春芽収穫期間を調整する。</t>
    <rPh sb="1" eb="3">
      <t>ゼンネン</t>
    </rPh>
    <rPh sb="4" eb="6">
      <t>セイイク</t>
    </rPh>
    <rPh sb="6" eb="8">
      <t>ジョウキョウ</t>
    </rPh>
    <rPh sb="9" eb="10">
      <t>ハル</t>
    </rPh>
    <rPh sb="10" eb="11">
      <t>メ</t>
    </rPh>
    <rPh sb="12" eb="14">
      <t>シュウリョウ</t>
    </rPh>
    <rPh sb="15" eb="16">
      <t>フト</t>
    </rPh>
    <rPh sb="17" eb="18">
      <t>トウ</t>
    </rPh>
    <rPh sb="19" eb="21">
      <t>コウリョ</t>
    </rPh>
    <rPh sb="23" eb="24">
      <t>ハル</t>
    </rPh>
    <rPh sb="24" eb="25">
      <t>メ</t>
    </rPh>
    <rPh sb="25" eb="27">
      <t>シュウカク</t>
    </rPh>
    <rPh sb="27" eb="29">
      <t>キカン</t>
    </rPh>
    <rPh sb="30" eb="32">
      <t>チョウセイ</t>
    </rPh>
    <phoneticPr fontId="4"/>
  </si>
  <si>
    <t xml:space="preserve">
　土壌水分計等で土壌水分を確認する。</t>
    <rPh sb="2" eb="4">
      <t>ドジョウ</t>
    </rPh>
    <rPh sb="4" eb="6">
      <t>スイブン</t>
    </rPh>
    <rPh sb="6" eb="7">
      <t>ケイ</t>
    </rPh>
    <rPh sb="7" eb="8">
      <t>トウ</t>
    </rPh>
    <rPh sb="9" eb="11">
      <t>ドジョウ</t>
    </rPh>
    <rPh sb="11" eb="13">
      <t>スイブン</t>
    </rPh>
    <rPh sb="14" eb="16">
      <t>カクニン</t>
    </rPh>
    <phoneticPr fontId="4"/>
  </si>
  <si>
    <t xml:space="preserve">
病害虫の発生状況に応じて散布薬剤を選択するとともに，必要に応じて随時防除を行う。病害は予防散布を徹底する。</t>
    <rPh sb="1" eb="4">
      <t>ビョウガイチュウ</t>
    </rPh>
    <rPh sb="5" eb="7">
      <t>ハッセイ</t>
    </rPh>
    <rPh sb="7" eb="9">
      <t>ジョウキョウ</t>
    </rPh>
    <rPh sb="10" eb="11">
      <t>オウ</t>
    </rPh>
    <rPh sb="13" eb="15">
      <t>サンプ</t>
    </rPh>
    <rPh sb="15" eb="17">
      <t>ヤクザイ</t>
    </rPh>
    <rPh sb="18" eb="20">
      <t>センタク</t>
    </rPh>
    <rPh sb="27" eb="29">
      <t>ヒツヨウ</t>
    </rPh>
    <rPh sb="30" eb="31">
      <t>オウ</t>
    </rPh>
    <rPh sb="33" eb="35">
      <t>ズイジ</t>
    </rPh>
    <rPh sb="35" eb="37">
      <t>ボウジョ</t>
    </rPh>
    <rPh sb="38" eb="39">
      <t>オコナ</t>
    </rPh>
    <rPh sb="41" eb="43">
      <t>ビョウガイ</t>
    </rPh>
    <rPh sb="44" eb="46">
      <t>ヨボウ</t>
    </rPh>
    <rPh sb="46" eb="48">
      <t>サンプ</t>
    </rPh>
    <rPh sb="49" eb="51">
      <t>テッテイ</t>
    </rPh>
    <phoneticPr fontId="4"/>
  </si>
  <si>
    <t xml:space="preserve">
病害の予防のため，アスパラガス茎葉をできる限り圃場外に持ち出す。</t>
    <rPh sb="1" eb="3">
      <t>ビョウガイ</t>
    </rPh>
    <rPh sb="4" eb="6">
      <t>ヨボウ</t>
    </rPh>
    <rPh sb="16" eb="17">
      <t>ケイ</t>
    </rPh>
    <rPh sb="17" eb="18">
      <t>ヨウ</t>
    </rPh>
    <rPh sb="22" eb="23">
      <t>カギ</t>
    </rPh>
    <rPh sb="24" eb="25">
      <t>ホ</t>
    </rPh>
    <rPh sb="25" eb="26">
      <t>ジョウ</t>
    </rPh>
    <rPh sb="26" eb="27">
      <t>ガイ</t>
    </rPh>
    <rPh sb="28" eb="29">
      <t>モ</t>
    </rPh>
    <rPh sb="30" eb="31">
      <t>ダ</t>
    </rPh>
    <phoneticPr fontId="4"/>
  </si>
  <si>
    <t xml:space="preserve">
　春、秋は1回／日、夏季は朝夕２回／日、収穫とする。</t>
    <rPh sb="2" eb="3">
      <t>ハル</t>
    </rPh>
    <rPh sb="4" eb="5">
      <t>アキ</t>
    </rPh>
    <rPh sb="7" eb="8">
      <t>カイ</t>
    </rPh>
    <rPh sb="9" eb="10">
      <t>ニチ</t>
    </rPh>
    <rPh sb="11" eb="13">
      <t>カキ</t>
    </rPh>
    <rPh sb="14" eb="15">
      <t>アサ</t>
    </rPh>
    <rPh sb="15" eb="16">
      <t>ユウ</t>
    </rPh>
    <rPh sb="17" eb="18">
      <t>カイ</t>
    </rPh>
    <rPh sb="19" eb="20">
      <t>ニチ</t>
    </rPh>
    <rPh sb="21" eb="23">
      <t>シュウカク</t>
    </rPh>
    <phoneticPr fontId="4"/>
  </si>
  <si>
    <t xml:space="preserve">
　春芽を40～50日後，Mサイズの若芽（直径10～12mm）を畦1mあたり10本程度を立茎させる。畦にできるだけ均一に立茎が配置するよう調整する。</t>
    <rPh sb="2" eb="3">
      <t>ハル</t>
    </rPh>
    <rPh sb="3" eb="4">
      <t>メ</t>
    </rPh>
    <rPh sb="10" eb="11">
      <t>ニチ</t>
    </rPh>
    <rPh sb="11" eb="12">
      <t>ゴ</t>
    </rPh>
    <rPh sb="18" eb="19">
      <t>ワカ</t>
    </rPh>
    <rPh sb="19" eb="20">
      <t>メ</t>
    </rPh>
    <rPh sb="21" eb="23">
      <t>チョッケイ</t>
    </rPh>
    <rPh sb="32" eb="33">
      <t>ウネ</t>
    </rPh>
    <rPh sb="40" eb="41">
      <t>ホン</t>
    </rPh>
    <rPh sb="41" eb="43">
      <t>テイド</t>
    </rPh>
    <rPh sb="44" eb="45">
      <t>タ</t>
    </rPh>
    <rPh sb="45" eb="46">
      <t>クキ</t>
    </rPh>
    <rPh sb="50" eb="51">
      <t>ウネ</t>
    </rPh>
    <rPh sb="57" eb="59">
      <t>キンイツ</t>
    </rPh>
    <rPh sb="60" eb="61">
      <t>タ</t>
    </rPh>
    <rPh sb="61" eb="62">
      <t>クキ</t>
    </rPh>
    <rPh sb="63" eb="65">
      <t>ハイチ</t>
    </rPh>
    <rPh sb="69" eb="71">
      <t>チョウセイ</t>
    </rPh>
    <phoneticPr fontId="4"/>
  </si>
  <si>
    <t xml:space="preserve">
前年の茎枯病の発生程度により灯油の使用量を調節する。</t>
    <rPh sb="1" eb="3">
      <t>ゼンネン</t>
    </rPh>
    <rPh sb="4" eb="5">
      <t>クキ</t>
    </rPh>
    <rPh sb="5" eb="6">
      <t>カ</t>
    </rPh>
    <rPh sb="6" eb="7">
      <t>ビョウ</t>
    </rPh>
    <rPh sb="8" eb="10">
      <t>ハッセイ</t>
    </rPh>
    <rPh sb="10" eb="12">
      <t>テイド</t>
    </rPh>
    <rPh sb="15" eb="17">
      <t>トウユ</t>
    </rPh>
    <rPh sb="18" eb="20">
      <t>シヨウ</t>
    </rPh>
    <rPh sb="20" eb="21">
      <t>リョウ</t>
    </rPh>
    <rPh sb="22" eb="24">
      <t>チョウセツ</t>
    </rPh>
    <phoneticPr fontId="4"/>
  </si>
  <si>
    <t xml:space="preserve">
泥の跳ね上がり防止が重要なので、畦面はムラなく堆肥で覆うこと</t>
    <rPh sb="1" eb="2">
      <t>ドロ</t>
    </rPh>
    <rPh sb="3" eb="4">
      <t>ハ</t>
    </rPh>
    <rPh sb="5" eb="6">
      <t>ア</t>
    </rPh>
    <rPh sb="8" eb="10">
      <t>ボウシ</t>
    </rPh>
    <rPh sb="11" eb="13">
      <t>ジュウヨウ</t>
    </rPh>
    <rPh sb="17" eb="18">
      <t>ウネ</t>
    </rPh>
    <rPh sb="18" eb="19">
      <t>メン</t>
    </rPh>
    <rPh sb="24" eb="26">
      <t>タイヒ</t>
    </rPh>
    <rPh sb="27" eb="28">
      <t>オオ</t>
    </rPh>
    <phoneticPr fontId="4"/>
  </si>
  <si>
    <t xml:space="preserve">
穂先の開きなど品質低下を見ながら収穫回数を決定する。</t>
    <rPh sb="1" eb="2">
      <t>ホ</t>
    </rPh>
    <rPh sb="2" eb="3">
      <t>サキ</t>
    </rPh>
    <rPh sb="4" eb="5">
      <t>ヒラ</t>
    </rPh>
    <rPh sb="8" eb="10">
      <t>ヒンシツ</t>
    </rPh>
    <rPh sb="10" eb="12">
      <t>テイカ</t>
    </rPh>
    <rPh sb="13" eb="14">
      <t>ミ</t>
    </rPh>
    <rPh sb="17" eb="19">
      <t>シュウカク</t>
    </rPh>
    <rPh sb="19" eb="21">
      <t>カイスウ</t>
    </rPh>
    <rPh sb="22" eb="24">
      <t>ケッテイ</t>
    </rPh>
    <phoneticPr fontId="4"/>
  </si>
  <si>
    <t xml:space="preserve">
乾湿の変化が少ないほど良いので常に鱗芽が湿った状態を維持する。</t>
    <rPh sb="1" eb="2">
      <t>イヌイ</t>
    </rPh>
    <rPh sb="2" eb="3">
      <t>シツ</t>
    </rPh>
    <rPh sb="4" eb="6">
      <t>ヘンカ</t>
    </rPh>
    <rPh sb="7" eb="8">
      <t>スク</t>
    </rPh>
    <rPh sb="12" eb="13">
      <t>ヨ</t>
    </rPh>
    <rPh sb="16" eb="17">
      <t>ツネ</t>
    </rPh>
    <rPh sb="18" eb="19">
      <t>リン</t>
    </rPh>
    <rPh sb="19" eb="20">
      <t>ガ</t>
    </rPh>
    <rPh sb="21" eb="22">
      <t>シメ</t>
    </rPh>
    <rPh sb="24" eb="26">
      <t>ジョウタイ</t>
    </rPh>
    <rPh sb="27" eb="29">
      <t>イジ</t>
    </rPh>
    <phoneticPr fontId="4"/>
  </si>
  <si>
    <t xml:space="preserve">
病害虫の発生状況に応じて散布薬剤を選択するとともに，必要に応じて随時防除を行う。</t>
    <rPh sb="1" eb="4">
      <t>ビョウガイチュウ</t>
    </rPh>
    <rPh sb="5" eb="7">
      <t>ハッセイ</t>
    </rPh>
    <rPh sb="7" eb="9">
      <t>ジョウキョウ</t>
    </rPh>
    <rPh sb="10" eb="11">
      <t>オウ</t>
    </rPh>
    <rPh sb="13" eb="15">
      <t>サンプ</t>
    </rPh>
    <rPh sb="15" eb="17">
      <t>ヤクザイ</t>
    </rPh>
    <rPh sb="18" eb="20">
      <t>センタク</t>
    </rPh>
    <rPh sb="27" eb="29">
      <t>ヒツヨウ</t>
    </rPh>
    <rPh sb="30" eb="31">
      <t>オウ</t>
    </rPh>
    <rPh sb="33" eb="35">
      <t>ズイジ</t>
    </rPh>
    <rPh sb="35" eb="37">
      <t>ボウジョ</t>
    </rPh>
    <rPh sb="38" eb="39">
      <t>オコナ</t>
    </rPh>
    <phoneticPr fontId="4"/>
  </si>
  <si>
    <t xml:space="preserve">
病害の予防のため，落ちたぎ葉もできる限り圃場外部に持ち出す。</t>
    <rPh sb="1" eb="3">
      <t>ビョウガイ</t>
    </rPh>
    <rPh sb="4" eb="6">
      <t>ヨボウ</t>
    </rPh>
    <rPh sb="10" eb="11">
      <t>オ</t>
    </rPh>
    <rPh sb="14" eb="15">
      <t>ハ</t>
    </rPh>
    <rPh sb="19" eb="20">
      <t>カギ</t>
    </rPh>
    <rPh sb="21" eb="22">
      <t>ホ</t>
    </rPh>
    <rPh sb="22" eb="23">
      <t>ジョウ</t>
    </rPh>
    <rPh sb="23" eb="25">
      <t>ガイブ</t>
    </rPh>
    <rPh sb="26" eb="27">
      <t>モ</t>
    </rPh>
    <rPh sb="28" eb="29">
      <t>ダ</t>
    </rPh>
    <phoneticPr fontId="4"/>
  </si>
  <si>
    <r>
      <t xml:space="preserve">普通
</t>
    </r>
    <r>
      <rPr>
        <sz val="8"/>
        <color indexed="8"/>
        <rFont val="ＭＳ Ｐゴシック"/>
        <family val="3"/>
        <charset val="128"/>
      </rPr>
      <t>長期どりアスパラガス</t>
    </r>
    <rPh sb="0" eb="2">
      <t>フツウ</t>
    </rPh>
    <rPh sb="3" eb="5">
      <t>チョウキ</t>
    </rPh>
    <phoneticPr fontId="3"/>
  </si>
  <si>
    <t>品種の組み合わせで機械の効率利用を図る</t>
    <rPh sb="0" eb="2">
      <t>ヒンシュ</t>
    </rPh>
    <rPh sb="3" eb="4">
      <t>ク</t>
    </rPh>
    <rPh sb="5" eb="6">
      <t>ア</t>
    </rPh>
    <rPh sb="9" eb="11">
      <t>キカイ</t>
    </rPh>
    <rPh sb="12" eb="14">
      <t>コウリツ</t>
    </rPh>
    <rPh sb="14" eb="16">
      <t>リヨウ</t>
    </rPh>
    <rPh sb="17" eb="18">
      <t>ハカ</t>
    </rPh>
    <phoneticPr fontId="3"/>
  </si>
  <si>
    <t>賃料料金に含む</t>
    <rPh sb="0" eb="2">
      <t>チンリョウ</t>
    </rPh>
    <rPh sb="2" eb="4">
      <t>リョウキン</t>
    </rPh>
    <rPh sb="5" eb="6">
      <t>フク</t>
    </rPh>
    <phoneticPr fontId="4"/>
  </si>
  <si>
    <t>11.5％</t>
    <phoneticPr fontId="4"/>
  </si>
  <si>
    <t>緩効性肥料</t>
    <rPh sb="0" eb="3">
      <t>カンコウセイ</t>
    </rPh>
    <rPh sb="3" eb="5">
      <t>ヒリョウ</t>
    </rPh>
    <phoneticPr fontId="4"/>
  </si>
  <si>
    <t>Ａ</t>
  </si>
  <si>
    <t>Ａ</t>
    <phoneticPr fontId="4"/>
  </si>
  <si>
    <t>Ｂ</t>
  </si>
  <si>
    <t>Ｂ</t>
    <phoneticPr fontId="4"/>
  </si>
  <si>
    <t>Ｃ</t>
  </si>
  <si>
    <t>Ｃ</t>
    <phoneticPr fontId="4"/>
  </si>
  <si>
    <t>Ｄ</t>
  </si>
  <si>
    <t>Ｄ</t>
    <phoneticPr fontId="4"/>
  </si>
  <si>
    <t>Ｅ</t>
  </si>
  <si>
    <t>Ｅ</t>
    <phoneticPr fontId="4"/>
  </si>
  <si>
    <t>Ｆ</t>
    <phoneticPr fontId="4"/>
  </si>
  <si>
    <t>Ａ</t>
    <phoneticPr fontId="4"/>
  </si>
  <si>
    <t>Ａ</t>
    <phoneticPr fontId="4"/>
  </si>
  <si>
    <t>不織布</t>
    <rPh sb="0" eb="3">
      <t>フショクフ</t>
    </rPh>
    <phoneticPr fontId="4"/>
  </si>
  <si>
    <t>Ａ</t>
    <phoneticPr fontId="4"/>
  </si>
  <si>
    <t>９　単価の算出基礎（アスパラガス，1kg当たり）</t>
    <rPh sb="2" eb="4">
      <t>タンカ</t>
    </rPh>
    <phoneticPr fontId="4"/>
  </si>
  <si>
    <t>土壌改良資材</t>
    <rPh sb="0" eb="2">
      <t>ドジョウ</t>
    </rPh>
    <rPh sb="2" eb="4">
      <t>カイリョウ</t>
    </rPh>
    <rPh sb="4" eb="6">
      <t>シザイ</t>
    </rPh>
    <phoneticPr fontId="4"/>
  </si>
  <si>
    <t>種子消毒殺菌剤</t>
    <rPh sb="0" eb="2">
      <t>シュシ</t>
    </rPh>
    <rPh sb="2" eb="4">
      <t>ショウドク</t>
    </rPh>
    <rPh sb="4" eb="7">
      <t>サッキンザイ</t>
    </rPh>
    <phoneticPr fontId="4"/>
  </si>
  <si>
    <t>育苗用殺菌剤</t>
    <rPh sb="0" eb="2">
      <t>イクビョウ</t>
    </rPh>
    <rPh sb="2" eb="3">
      <t>ヨウ</t>
    </rPh>
    <rPh sb="3" eb="6">
      <t>サッキンザイ</t>
    </rPh>
    <phoneticPr fontId="4"/>
  </si>
  <si>
    <t>種子消毒殺虫剤</t>
    <rPh sb="0" eb="2">
      <t>シュシ</t>
    </rPh>
    <rPh sb="2" eb="4">
      <t>ショウドク</t>
    </rPh>
    <rPh sb="4" eb="7">
      <t>サッチュウザイ</t>
    </rPh>
    <phoneticPr fontId="4"/>
  </si>
  <si>
    <t>一発剤</t>
    <rPh sb="0" eb="2">
      <t>イッパツ</t>
    </rPh>
    <rPh sb="2" eb="3">
      <t>ザイ</t>
    </rPh>
    <phoneticPr fontId="4"/>
  </si>
  <si>
    <t>箱施用剤</t>
    <rPh sb="0" eb="1">
      <t>ハコ</t>
    </rPh>
    <rPh sb="1" eb="3">
      <t>セヨウ</t>
    </rPh>
    <rPh sb="3" eb="4">
      <t>ザイ</t>
    </rPh>
    <phoneticPr fontId="4"/>
  </si>
  <si>
    <t>殺虫殺菌剤</t>
    <rPh sb="0" eb="2">
      <t>サッチュウ</t>
    </rPh>
    <rPh sb="2" eb="4">
      <t>サッキン</t>
    </rPh>
    <rPh sb="4" eb="5">
      <t>ザイ</t>
    </rPh>
    <phoneticPr fontId="4"/>
  </si>
  <si>
    <t>８－３　経費の算出基礎（露地アスパラガス，1ha当たり）</t>
    <rPh sb="4" eb="6">
      <t>ケイヒ</t>
    </rPh>
    <rPh sb="7" eb="9">
      <t>サンシュツ</t>
    </rPh>
    <rPh sb="9" eb="11">
      <t>キソ</t>
    </rPh>
    <rPh sb="12" eb="14">
      <t>ロジ</t>
    </rPh>
    <rPh sb="24" eb="25">
      <t>ア</t>
    </rPh>
    <phoneticPr fontId="4"/>
  </si>
  <si>
    <t>３－２　標準技術（ハウスアスパラガス）</t>
    <rPh sb="4" eb="6">
      <t>ヒョウジュン</t>
    </rPh>
    <rPh sb="6" eb="8">
      <t>ギジュツ</t>
    </rPh>
    <phoneticPr fontId="4"/>
  </si>
  <si>
    <t>３－３　標準技術（露地アスパラガス）</t>
    <rPh sb="4" eb="6">
      <t>ヒョウジュン</t>
    </rPh>
    <rPh sb="6" eb="8">
      <t>ギジュツ</t>
    </rPh>
    <rPh sb="9" eb="11">
      <t>ロジ</t>
    </rPh>
    <phoneticPr fontId="4"/>
  </si>
  <si>
    <t>A</t>
    <phoneticPr fontId="4"/>
  </si>
  <si>
    <t>A</t>
    <phoneticPr fontId="4"/>
  </si>
  <si>
    <t>B</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</si>
</sst>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_);[Red]\(#,##0\)"/>
    <numFmt numFmtId="177" formatCode="#,##0;&quot;▲ &quot;#,##0"/>
    <numFmt numFmtId="178" formatCode="#,##0.0;&quot;▲ &quot;#,##0.0"/>
    <numFmt numFmtId="179" formatCode="#,##0.0_);[Red]\(#,##0.0\)"/>
    <numFmt numFmtId="180" formatCode="0\ &quot;年&quot;"/>
    <numFmt numFmtId="181" formatCode="#,##0;&quot;△ &quot;#,##0"/>
    <numFmt numFmtId="182" formatCode="0.0%"/>
    <numFmt numFmtId="183" formatCode="0.0_);[Red]\(0.0\)"/>
    <numFmt numFmtId="184" formatCode="#,##0.00_);[Red]\(#,##0.00\)"/>
    <numFmt numFmtId="185" formatCode="0_);[Red]\(0\)"/>
    <numFmt numFmtId="186" formatCode="0&quot;円/時&quot;"/>
    <numFmt numFmtId="187" formatCode="0&quot;円/袋&quot;"/>
    <numFmt numFmtId="188" formatCode="0&quot;円/10a&quot;"/>
    <numFmt numFmtId="189" formatCode="0&quot;ha&quot;"/>
    <numFmt numFmtId="190" formatCode="0.0_);\(0.0\)"/>
    <numFmt numFmtId="191" formatCode="&quot;水&quot;&quot;稲&quot;#,##0.0&quot;ha&quot;"/>
    <numFmt numFmtId="192" formatCode="0.0&quot;ha&quot;"/>
    <numFmt numFmtId="193" formatCode="0.0"/>
    <numFmt numFmtId="194" formatCode="#,##0_ "/>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10"/>
      <color indexed="8"/>
      <name val="ＭＳ 明朝"/>
      <family val="1"/>
      <charset val="128"/>
    </font>
    <font>
      <sz val="6"/>
      <name val="ＭＳ Ｐゴシック"/>
      <family val="3"/>
      <charset val="128"/>
    </font>
    <font>
      <sz val="10"/>
      <name val="ＭＳ Ｐゴシック"/>
      <family val="3"/>
      <charset val="128"/>
    </font>
    <font>
      <sz val="11"/>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name val="ＭＳ Ｐゴシック"/>
      <family val="3"/>
      <charset val="128"/>
    </font>
    <font>
      <sz val="11"/>
      <color indexed="8"/>
      <name val="ＭＳ 明朝"/>
      <family val="1"/>
      <charset val="128"/>
    </font>
    <font>
      <sz val="14"/>
      <name val="ＭＳ 明朝"/>
      <family val="1"/>
      <charset val="128"/>
    </font>
    <font>
      <u/>
      <sz val="11"/>
      <color indexed="12"/>
      <name val="ＭＳ Ｐゴシック"/>
      <family val="3"/>
      <charset val="128"/>
    </font>
    <font>
      <sz val="12"/>
      <name val="ＭＳ 明朝"/>
      <family val="1"/>
      <charset val="128"/>
    </font>
    <font>
      <sz val="11"/>
      <color theme="1"/>
      <name val="ＭＳ Ｐゴシック"/>
      <family val="3"/>
      <charset val="128"/>
    </font>
    <font>
      <sz val="11"/>
      <color theme="0" tint="-0.14999847407452621"/>
      <name val="ＭＳ Ｐゴシック"/>
      <family val="3"/>
      <charset val="128"/>
    </font>
    <font>
      <sz val="11"/>
      <color theme="0"/>
      <name val="ＭＳ Ｐゴシック"/>
      <family val="3"/>
      <charset val="128"/>
    </font>
    <font>
      <sz val="8"/>
      <color indexed="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rgb="FFFFFF00"/>
        <bgColor indexed="64"/>
      </patternFill>
    </fill>
    <fill>
      <patternFill patternType="solid">
        <fgColor rgb="FFC0C0C0"/>
        <bgColor indexed="64"/>
      </patternFill>
    </fill>
    <fill>
      <patternFill patternType="solid">
        <fgColor theme="6" tint="0.79998168889431442"/>
        <bgColor indexed="64"/>
      </patternFill>
    </fill>
    <fill>
      <patternFill patternType="solid">
        <fgColor theme="9" tint="0.39994506668294322"/>
        <bgColor indexed="64"/>
      </patternFill>
    </fill>
    <fill>
      <patternFill patternType="solid">
        <fgColor theme="8" tint="0.79998168889431442"/>
        <bgColor indexed="64"/>
      </patternFill>
    </fill>
  </fills>
  <borders count="311">
    <border>
      <left/>
      <right/>
      <top/>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style="medium">
        <color indexed="8"/>
      </left>
      <right/>
      <top/>
      <bottom/>
      <diagonal/>
    </border>
    <border>
      <left style="thin">
        <color indexed="8"/>
      </left>
      <right/>
      <top/>
      <bottom/>
      <diagonal/>
    </border>
    <border>
      <left style="thin">
        <color indexed="8"/>
      </left>
      <right/>
      <top/>
      <bottom style="double">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top/>
      <bottom style="double">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double">
        <color indexed="8"/>
      </top>
      <bottom style="thin">
        <color indexed="8"/>
      </bottom>
      <diagonal/>
    </border>
    <border>
      <left/>
      <right/>
      <top style="thin">
        <color indexed="8"/>
      </top>
      <bottom style="double">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dotted">
        <color indexed="8"/>
      </right>
      <top style="thin">
        <color indexed="8"/>
      </top>
      <bottom/>
      <diagonal/>
    </border>
    <border>
      <left style="dotted">
        <color indexed="8"/>
      </left>
      <right/>
      <top style="thin">
        <color indexed="8"/>
      </top>
      <bottom/>
      <diagonal/>
    </border>
    <border>
      <left/>
      <right style="medium">
        <color indexed="8"/>
      </right>
      <top style="thin">
        <color indexed="8"/>
      </top>
      <bottom/>
      <diagonal/>
    </border>
    <border>
      <left/>
      <right style="dotted">
        <color indexed="8"/>
      </right>
      <top/>
      <bottom/>
      <diagonal/>
    </border>
    <border>
      <left style="dotted">
        <color indexed="8"/>
      </left>
      <right/>
      <top/>
      <bottom/>
      <diagonal/>
    </border>
    <border>
      <left/>
      <right style="medium">
        <color indexed="8"/>
      </right>
      <top/>
      <bottom/>
      <diagonal/>
    </border>
    <border>
      <left style="medium">
        <color indexed="8"/>
      </left>
      <right style="thin">
        <color indexed="8"/>
      </right>
      <top/>
      <bottom style="medium">
        <color indexed="8"/>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8"/>
      </right>
      <top style="thin">
        <color indexed="8"/>
      </top>
      <bottom style="double">
        <color indexed="8"/>
      </bottom>
      <diagonal/>
    </border>
    <border>
      <left style="thin">
        <color indexed="64"/>
      </left>
      <right/>
      <top/>
      <bottom/>
      <diagonal/>
    </border>
    <border>
      <left style="thin">
        <color indexed="64"/>
      </left>
      <right/>
      <top style="thin">
        <color indexed="64"/>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8"/>
      </left>
      <right/>
      <top/>
      <bottom style="thin">
        <color indexed="8"/>
      </bottom>
      <diagonal/>
    </border>
    <border>
      <left style="hair">
        <color indexed="8"/>
      </left>
      <right style="hair">
        <color indexed="8"/>
      </right>
      <top style="thin">
        <color indexed="8"/>
      </top>
      <bottom style="thin">
        <color indexed="8"/>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8"/>
      </left>
      <right style="thin">
        <color indexed="8"/>
      </right>
      <top style="double">
        <color indexed="8"/>
      </top>
      <bottom style="thin">
        <color indexed="8"/>
      </bottom>
      <diagonal/>
    </border>
    <border>
      <left/>
      <right style="thin">
        <color indexed="8"/>
      </right>
      <top style="medium">
        <color indexed="8"/>
      </top>
      <bottom/>
      <diagonal/>
    </border>
    <border>
      <left/>
      <right style="thin">
        <color indexed="8"/>
      </right>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tted">
        <color indexed="8"/>
      </left>
      <right/>
      <top style="medium">
        <color indexed="8"/>
      </top>
      <bottom style="thin">
        <color indexed="8"/>
      </bottom>
      <diagonal/>
    </border>
    <border>
      <left/>
      <right style="dotted">
        <color indexed="8"/>
      </right>
      <top style="medium">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8"/>
      </right>
      <top style="double">
        <color indexed="8"/>
      </top>
      <bottom style="thin">
        <color indexed="8"/>
      </bottom>
      <diagonal/>
    </border>
    <border>
      <left style="thin">
        <color indexed="8"/>
      </left>
      <right/>
      <top style="thin">
        <color indexed="8"/>
      </top>
      <bottom style="double">
        <color indexed="8"/>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8"/>
      </right>
      <top/>
      <bottom style="thin">
        <color indexed="8"/>
      </bottom>
      <diagonal/>
    </border>
    <border>
      <left/>
      <right style="thin">
        <color indexed="64"/>
      </right>
      <top style="medium">
        <color indexed="64"/>
      </top>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medium">
        <color indexed="8"/>
      </left>
      <right style="thin">
        <color indexed="8"/>
      </right>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medium">
        <color indexed="8"/>
      </right>
      <top/>
      <bottom style="double">
        <color indexed="8"/>
      </bottom>
      <diagonal/>
    </border>
    <border>
      <left style="thin">
        <color indexed="8"/>
      </left>
      <right/>
      <top style="thin">
        <color indexed="8"/>
      </top>
      <bottom style="medium">
        <color indexed="8"/>
      </bottom>
      <diagonal/>
    </border>
    <border>
      <left/>
      <right style="thin">
        <color indexed="8"/>
      </right>
      <top style="double">
        <color indexed="8"/>
      </top>
      <bottom style="thin">
        <color indexed="8"/>
      </bottom>
      <diagonal/>
    </border>
    <border>
      <left style="medium">
        <color indexed="8"/>
      </left>
      <right style="thin">
        <color indexed="8"/>
      </right>
      <top style="double">
        <color indexed="8"/>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indexed="8"/>
      </top>
      <bottom style="medium">
        <color indexed="8"/>
      </bottom>
      <diagonal/>
    </border>
    <border>
      <left style="thin">
        <color indexed="64"/>
      </left>
      <right style="thin">
        <color indexed="64"/>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bottom style="medium">
        <color indexed="64"/>
      </bottom>
      <diagonal/>
    </border>
    <border>
      <left style="medium">
        <color indexed="8"/>
      </left>
      <right/>
      <top style="thin">
        <color indexed="8"/>
      </top>
      <bottom/>
      <diagonal/>
    </border>
    <border>
      <left style="medium">
        <color indexed="8"/>
      </left>
      <right/>
      <top/>
      <bottom style="medium">
        <color indexed="64"/>
      </bottom>
      <diagonal/>
    </border>
    <border>
      <left style="medium">
        <color indexed="8"/>
      </left>
      <right style="thin">
        <color indexed="8"/>
      </right>
      <top style="thin">
        <color auto="1"/>
      </top>
      <bottom/>
      <diagonal/>
    </border>
    <border>
      <left style="thin">
        <color indexed="64"/>
      </left>
      <right/>
      <top/>
      <bottom style="thin">
        <color indexed="64"/>
      </bottom>
      <diagonal/>
    </border>
    <border>
      <left style="thin">
        <color indexed="8"/>
      </left>
      <right/>
      <top/>
      <bottom style="thin">
        <color indexed="8"/>
      </bottom>
      <diagonal/>
    </border>
    <border>
      <left/>
      <right/>
      <top/>
      <bottom style="thin">
        <color indexed="64"/>
      </bottom>
      <diagonal/>
    </border>
    <border>
      <left style="thin">
        <color indexed="8"/>
      </left>
      <right/>
      <top/>
      <bottom style="medium">
        <color indexed="64"/>
      </bottom>
      <diagonal/>
    </border>
    <border>
      <left/>
      <right style="medium">
        <color indexed="8"/>
      </right>
      <top style="thin">
        <color indexed="8"/>
      </top>
      <bottom style="medium">
        <color indexed="64"/>
      </bottom>
      <diagonal/>
    </border>
    <border>
      <left/>
      <right/>
      <top/>
      <bottom style="thin">
        <color indexed="8"/>
      </bottom>
      <diagonal/>
    </border>
    <border>
      <left/>
      <right style="medium">
        <color indexed="8"/>
      </right>
      <top/>
      <bottom style="thin">
        <color indexed="8"/>
      </bottom>
      <diagonal/>
    </border>
    <border>
      <left/>
      <right style="medium">
        <color indexed="8"/>
      </right>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64"/>
      </top>
      <bottom style="medium">
        <color indexed="64"/>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diagonalDown="1">
      <left style="medium">
        <color indexed="8"/>
      </left>
      <right style="thin">
        <color indexed="8"/>
      </right>
      <top style="medium">
        <color indexed="8"/>
      </top>
      <bottom style="thin">
        <color indexed="8"/>
      </bottom>
      <diagonal style="thin">
        <color indexed="8"/>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medium">
        <color indexed="8"/>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8"/>
      </left>
      <right style="medium">
        <color indexed="64"/>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8"/>
      </right>
      <top style="medium">
        <color indexed="8"/>
      </top>
      <bottom style="thin">
        <color indexed="8"/>
      </bottom>
      <diagonal/>
    </border>
    <border>
      <left style="medium">
        <color indexed="8"/>
      </left>
      <right/>
      <top/>
      <bottom style="double">
        <color indexed="8"/>
      </bottom>
      <diagonal/>
    </border>
    <border>
      <left style="thin">
        <color indexed="64"/>
      </left>
      <right style="thin">
        <color indexed="64"/>
      </right>
      <top style="thin">
        <color indexed="64"/>
      </top>
      <bottom style="double">
        <color indexed="8"/>
      </bottom>
      <diagonal/>
    </border>
    <border>
      <left/>
      <right style="medium">
        <color indexed="8"/>
      </right>
      <top style="thin">
        <color indexed="8"/>
      </top>
      <bottom style="double">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medium">
        <color indexed="64"/>
      </left>
      <right/>
      <top style="thin">
        <color indexed="8"/>
      </top>
      <bottom/>
      <diagonal/>
    </border>
    <border>
      <left/>
      <right style="medium">
        <color indexed="64"/>
      </right>
      <top/>
      <bottom/>
      <diagonal/>
    </border>
    <border>
      <left style="medium">
        <color indexed="64"/>
      </left>
      <right/>
      <top/>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auto="1"/>
      </top>
      <bottom/>
      <diagonal/>
    </border>
    <border>
      <left style="thin">
        <color indexed="8"/>
      </left>
      <right style="medium">
        <color indexed="64"/>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bottom style="double">
        <color indexed="8"/>
      </bottom>
      <diagonal/>
    </border>
    <border>
      <left style="thin">
        <color indexed="8"/>
      </left>
      <right style="medium">
        <color indexed="64"/>
      </right>
      <top/>
      <bottom style="double">
        <color indexed="8"/>
      </bottom>
      <diagonal/>
    </border>
    <border>
      <left style="medium">
        <color indexed="64"/>
      </left>
      <right style="thin">
        <color indexed="8"/>
      </right>
      <top style="double">
        <color indexed="8"/>
      </top>
      <bottom/>
      <diagonal/>
    </border>
    <border>
      <left style="medium">
        <color indexed="64"/>
      </left>
      <right style="thin">
        <color indexed="8"/>
      </right>
      <top/>
      <bottom/>
      <diagonal/>
    </border>
    <border>
      <left style="medium">
        <color indexed="64"/>
      </left>
      <right style="thin">
        <color indexed="8"/>
      </right>
      <top/>
      <bottom style="double">
        <color indexed="8"/>
      </bottom>
      <diagonal/>
    </border>
    <border>
      <left style="thin">
        <color indexed="8"/>
      </left>
      <right style="medium">
        <color indexed="64"/>
      </right>
      <top style="thin">
        <color indexed="8"/>
      </top>
      <bottom style="double">
        <color indexed="8"/>
      </bottom>
      <diagonal/>
    </border>
    <border>
      <left style="thin">
        <color indexed="8"/>
      </left>
      <right style="thin">
        <color indexed="8"/>
      </right>
      <top style="thin">
        <color indexed="8"/>
      </top>
      <bottom style="thin">
        <color indexed="64"/>
      </bottom>
      <diagonal/>
    </border>
    <border>
      <left style="medium">
        <color indexed="64"/>
      </left>
      <right style="thin">
        <color indexed="8"/>
      </right>
      <top/>
      <bottom style="medium">
        <color indexed="64"/>
      </bottom>
      <diagonal/>
    </border>
    <border>
      <left style="thin">
        <color indexed="8"/>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double">
        <color indexed="8"/>
      </top>
      <bottom style="thin">
        <color indexed="64"/>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64"/>
      </left>
      <right style="thin">
        <color indexed="8"/>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thin">
        <color auto="1"/>
      </right>
      <top/>
      <bottom style="thin">
        <color auto="1"/>
      </bottom>
      <diagonal/>
    </border>
    <border>
      <left style="thin">
        <color indexed="8"/>
      </left>
      <right style="medium">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medium">
        <color auto="1"/>
      </right>
      <top/>
      <bottom style="thin">
        <color auto="1"/>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medium">
        <color indexed="64"/>
      </left>
      <right style="thin">
        <color indexed="64"/>
      </right>
      <top/>
      <bottom style="thin">
        <color indexed="8"/>
      </bottom>
      <diagonal/>
    </border>
    <border>
      <left style="medium">
        <color indexed="64"/>
      </left>
      <right style="thin">
        <color auto="1"/>
      </right>
      <top/>
      <bottom style="thin">
        <color auto="1"/>
      </bottom>
      <diagonal/>
    </border>
    <border>
      <left style="thin">
        <color indexed="8"/>
      </left>
      <right style="medium">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64"/>
      </left>
      <right/>
      <top style="thin">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hair">
        <color indexed="8"/>
      </left>
      <right/>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8"/>
      </left>
      <right style="thin">
        <color indexed="64"/>
      </right>
      <top style="thin">
        <color indexed="8"/>
      </top>
      <bottom style="thin">
        <color indexed="64"/>
      </bottom>
      <diagonal/>
    </border>
    <border>
      <left/>
      <right style="thin">
        <color indexed="8"/>
      </right>
      <top style="double">
        <color indexed="8"/>
      </top>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64"/>
      </top>
      <bottom/>
      <diagonal/>
    </border>
    <border>
      <left style="thin">
        <color indexed="8"/>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auto="1"/>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bottom style="thin">
        <color indexed="8"/>
      </bottom>
      <diagonal/>
    </border>
    <border>
      <left/>
      <right style="dotted">
        <color indexed="8"/>
      </right>
      <top/>
      <bottom style="thin">
        <color indexed="8"/>
      </bottom>
      <diagonal/>
    </border>
    <border>
      <left style="dotted">
        <color indexed="8"/>
      </left>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style="thin">
        <color indexed="8"/>
      </right>
      <top style="thin">
        <color indexed="8"/>
      </top>
      <bottom style="dotted">
        <color indexed="8"/>
      </bottom>
      <diagonal/>
    </border>
    <border>
      <left/>
      <right style="thin">
        <color indexed="8"/>
      </right>
      <top style="thin">
        <color indexed="8"/>
      </top>
      <bottom style="dotted">
        <color indexed="8"/>
      </bottom>
      <diagonal/>
    </border>
    <border>
      <left/>
      <right style="dotted">
        <color indexed="8"/>
      </right>
      <top style="thin">
        <color indexed="8"/>
      </top>
      <bottom style="dotted">
        <color indexed="8"/>
      </bottom>
      <diagonal/>
    </border>
    <border>
      <left style="dotted">
        <color indexed="8"/>
      </left>
      <right/>
      <top style="thin">
        <color indexed="8"/>
      </top>
      <bottom style="dotted">
        <color indexed="8"/>
      </bottom>
      <diagonal/>
    </border>
    <border>
      <left/>
      <right style="medium">
        <color indexed="8"/>
      </right>
      <top style="thin">
        <color indexed="8"/>
      </top>
      <bottom style="dotted">
        <color indexed="8"/>
      </bottom>
      <diagonal/>
    </border>
  </borders>
  <cellStyleXfs count="11">
    <xf numFmtId="0" fontId="0" fillId="0" borderId="0">
      <alignment vertical="center"/>
    </xf>
    <xf numFmtId="38" fontId="2" fillId="0" borderId="0" applyFont="0" applyFill="0" applyBorder="0" applyAlignment="0" applyProtection="0">
      <alignment vertical="center"/>
    </xf>
    <xf numFmtId="0" fontId="1" fillId="0" borderId="0"/>
    <xf numFmtId="0" fontId="1" fillId="0" borderId="0">
      <alignment vertical="center"/>
    </xf>
    <xf numFmtId="9" fontId="1"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38" fontId="1" fillId="0" borderId="0" applyFont="0" applyFill="0" applyBorder="0" applyAlignment="0" applyProtection="0"/>
    <xf numFmtId="37" fontId="13" fillId="0" borderId="0"/>
    <xf numFmtId="0" fontId="11" fillId="0" borderId="0"/>
  </cellStyleXfs>
  <cellXfs count="1258">
    <xf numFmtId="0" fontId="0" fillId="0" borderId="0" xfId="0">
      <alignment vertical="center"/>
    </xf>
    <xf numFmtId="176" fontId="0" fillId="0" borderId="0" xfId="0" applyNumberFormat="1" applyBorder="1" applyAlignment="1">
      <alignment vertical="center"/>
    </xf>
    <xf numFmtId="177" fontId="0" fillId="0" borderId="0" xfId="0" applyNumberFormat="1" applyBorder="1" applyAlignment="1">
      <alignment vertical="center"/>
    </xf>
    <xf numFmtId="177" fontId="6" fillId="0" borderId="0" xfId="0" applyNumberFormat="1" applyFont="1" applyBorder="1" applyAlignment="1">
      <alignment vertical="center"/>
    </xf>
    <xf numFmtId="176" fontId="0" fillId="0" borderId="0" xfId="0" applyNumberFormat="1" applyFont="1" applyBorder="1" applyAlignment="1">
      <alignment vertical="center"/>
    </xf>
    <xf numFmtId="177" fontId="0" fillId="0" borderId="15" xfId="0" applyNumberFormat="1" applyBorder="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9" fillId="0" borderId="0" xfId="0" applyFont="1" applyAlignment="1">
      <alignment vertical="center"/>
    </xf>
    <xf numFmtId="38" fontId="0" fillId="0" borderId="0" xfId="1" applyFont="1" applyAlignment="1">
      <alignment vertical="center"/>
    </xf>
    <xf numFmtId="0" fontId="0" fillId="0" borderId="78" xfId="0" applyFont="1" applyBorder="1" applyAlignment="1">
      <alignment horizontal="center" vertical="center"/>
    </xf>
    <xf numFmtId="180" fontId="0" fillId="0" borderId="78" xfId="1" applyNumberFormat="1" applyFont="1" applyBorder="1" applyAlignment="1">
      <alignment horizontal="center" vertical="center"/>
    </xf>
    <xf numFmtId="0" fontId="0" fillId="0" borderId="79" xfId="0" applyFont="1" applyBorder="1" applyAlignment="1">
      <alignment horizontal="center" vertical="center"/>
    </xf>
    <xf numFmtId="0" fontId="0" fillId="0" borderId="35" xfId="0" applyFont="1" applyBorder="1" applyAlignment="1">
      <alignment vertical="center" wrapText="1"/>
    </xf>
    <xf numFmtId="0" fontId="0" fillId="0" borderId="67" xfId="0" applyFont="1" applyBorder="1" applyAlignment="1">
      <alignment vertical="center"/>
    </xf>
    <xf numFmtId="181" fontId="0" fillId="0" borderId="38" xfId="0" applyNumberFormat="1" applyFont="1" applyBorder="1" applyAlignment="1">
      <alignment horizontal="right" vertical="center"/>
    </xf>
    <xf numFmtId="38" fontId="0" fillId="0" borderId="62" xfId="1" applyFont="1" applyBorder="1" applyAlignment="1">
      <alignment vertical="center" shrinkToFit="1"/>
    </xf>
    <xf numFmtId="0" fontId="0" fillId="0" borderId="34" xfId="0" applyFont="1" applyBorder="1" applyAlignment="1">
      <alignment vertical="center"/>
    </xf>
    <xf numFmtId="0" fontId="0" fillId="0" borderId="41" xfId="0" applyFont="1" applyBorder="1" applyAlignment="1">
      <alignment vertical="center"/>
    </xf>
    <xf numFmtId="181" fontId="0" fillId="0" borderId="41" xfId="0" applyNumberFormat="1" applyFont="1" applyBorder="1" applyAlignment="1">
      <alignment horizontal="right" vertical="center"/>
    </xf>
    <xf numFmtId="38" fontId="0" fillId="0" borderId="63" xfId="1" applyFont="1" applyBorder="1" applyAlignment="1">
      <alignment vertical="center" shrinkToFit="1"/>
    </xf>
    <xf numFmtId="181" fontId="0" fillId="3" borderId="41" xfId="0" applyNumberFormat="1" applyFont="1" applyFill="1" applyBorder="1" applyAlignment="1">
      <alignment horizontal="right" vertical="center"/>
    </xf>
    <xf numFmtId="181" fontId="0" fillId="3" borderId="43" xfId="0" applyNumberFormat="1" applyFont="1" applyFill="1" applyBorder="1" applyAlignment="1">
      <alignment horizontal="right" vertical="center"/>
    </xf>
    <xf numFmtId="181" fontId="0" fillId="0" borderId="24" xfId="0" applyNumberFormat="1" applyFont="1" applyBorder="1" applyAlignment="1">
      <alignment horizontal="right" vertical="center"/>
    </xf>
    <xf numFmtId="0" fontId="0" fillId="0" borderId="24" xfId="0" applyFont="1" applyBorder="1" applyAlignment="1">
      <alignment vertical="center"/>
    </xf>
    <xf numFmtId="181" fontId="0" fillId="4" borderId="41" xfId="0" applyNumberFormat="1" applyFont="1" applyFill="1" applyBorder="1" applyAlignment="1">
      <alignment horizontal="right" vertical="center"/>
    </xf>
    <xf numFmtId="0" fontId="0" fillId="0" borderId="24" xfId="0" applyFont="1" applyFill="1" applyBorder="1" applyAlignment="1">
      <alignment vertical="center"/>
    </xf>
    <xf numFmtId="0" fontId="8" fillId="0" borderId="41" xfId="0" applyFont="1" applyBorder="1" applyAlignment="1">
      <alignment vertical="center"/>
    </xf>
    <xf numFmtId="181" fontId="0" fillId="4" borderId="64" xfId="0" applyNumberFormat="1" applyFont="1" applyFill="1" applyBorder="1" applyAlignment="1">
      <alignment horizontal="right" vertical="center"/>
    </xf>
    <xf numFmtId="38" fontId="0" fillId="0" borderId="65" xfId="1" applyFont="1" applyBorder="1" applyAlignment="1">
      <alignment vertical="center" shrinkToFit="1"/>
    </xf>
    <xf numFmtId="181" fontId="0" fillId="3" borderId="44" xfId="1" applyNumberFormat="1" applyFont="1" applyFill="1" applyBorder="1" applyAlignment="1">
      <alignment horizontal="right" vertical="center"/>
    </xf>
    <xf numFmtId="38" fontId="0" fillId="0" borderId="66" xfId="1" applyFont="1" applyBorder="1" applyAlignment="1">
      <alignment vertical="center" shrinkToFit="1"/>
    </xf>
    <xf numFmtId="0" fontId="0" fillId="0" borderId="115" xfId="0" applyFont="1" applyBorder="1" applyAlignment="1">
      <alignment vertical="center"/>
    </xf>
    <xf numFmtId="0" fontId="0" fillId="0" borderId="119" xfId="0" applyFont="1" applyBorder="1" applyAlignment="1">
      <alignment vertical="center"/>
    </xf>
    <xf numFmtId="181" fontId="0" fillId="0" borderId="119" xfId="0" applyNumberFormat="1" applyFont="1" applyBorder="1" applyAlignment="1">
      <alignment horizontal="right" vertical="center"/>
    </xf>
    <xf numFmtId="38" fontId="0" fillId="0" borderId="69" xfId="1" applyFont="1" applyBorder="1" applyAlignment="1">
      <alignment vertical="center" shrinkToFit="1"/>
    </xf>
    <xf numFmtId="0" fontId="0" fillId="0" borderId="34" xfId="0" applyFont="1" applyFill="1" applyBorder="1" applyAlignment="1">
      <alignment vertical="center"/>
    </xf>
    <xf numFmtId="0" fontId="0" fillId="0" borderId="41" xfId="0" applyFont="1" applyFill="1" applyBorder="1" applyAlignment="1">
      <alignment vertical="center"/>
    </xf>
    <xf numFmtId="0" fontId="0" fillId="0" borderId="57" xfId="0" applyFont="1" applyFill="1" applyBorder="1" applyAlignment="1">
      <alignment vertical="center"/>
    </xf>
    <xf numFmtId="0" fontId="0" fillId="0" borderId="43" xfId="0" applyFont="1" applyFill="1" applyBorder="1" applyAlignment="1">
      <alignment vertical="center"/>
    </xf>
    <xf numFmtId="38" fontId="0" fillId="0" borderId="68" xfId="1" applyFont="1" applyBorder="1" applyAlignment="1">
      <alignment vertical="center" shrinkToFit="1"/>
    </xf>
    <xf numFmtId="181" fontId="0" fillId="4" borderId="49" xfId="1" applyNumberFormat="1" applyFont="1" applyFill="1" applyBorder="1" applyAlignment="1">
      <alignment horizontal="right" vertical="center"/>
    </xf>
    <xf numFmtId="181" fontId="0" fillId="3" borderId="50" xfId="1" applyNumberFormat="1" applyFont="1" applyFill="1" applyBorder="1" applyAlignment="1">
      <alignment horizontal="right" vertical="center"/>
    </xf>
    <xf numFmtId="176" fontId="0" fillId="0" borderId="0" xfId="0" applyNumberFormat="1" applyFont="1" applyAlignment="1">
      <alignment vertical="center"/>
    </xf>
    <xf numFmtId="179" fontId="0" fillId="0" borderId="0" xfId="0" applyNumberFormat="1" applyFont="1" applyAlignment="1">
      <alignment vertical="center"/>
    </xf>
    <xf numFmtId="176" fontId="0" fillId="0" borderId="0" xfId="0" applyNumberFormat="1" applyFont="1" applyBorder="1" applyAlignment="1">
      <alignment horizontal="right" vertical="center"/>
    </xf>
    <xf numFmtId="179" fontId="0" fillId="0" borderId="0" xfId="0" applyNumberFormat="1" applyFont="1" applyBorder="1" applyAlignment="1">
      <alignment horizontal="right" vertical="center"/>
    </xf>
    <xf numFmtId="176" fontId="0" fillId="0" borderId="0" xfId="0" applyNumberFormat="1" applyFont="1" applyBorder="1" applyAlignment="1">
      <alignment horizontal="left" vertical="center"/>
    </xf>
    <xf numFmtId="176" fontId="0" fillId="0" borderId="88" xfId="0" applyNumberFormat="1" applyFont="1" applyBorder="1" applyAlignment="1">
      <alignment horizontal="center" vertical="center" shrinkToFit="1"/>
    </xf>
    <xf numFmtId="176" fontId="0" fillId="2" borderId="10" xfId="0" applyNumberFormat="1" applyFont="1" applyFill="1" applyBorder="1" applyAlignment="1">
      <alignment vertical="center" shrinkToFit="1"/>
    </xf>
    <xf numFmtId="176" fontId="0" fillId="0" borderId="83" xfId="0" applyNumberFormat="1" applyFont="1" applyBorder="1" applyAlignment="1">
      <alignment horizontal="center" vertical="center" shrinkToFit="1"/>
    </xf>
    <xf numFmtId="176" fontId="0" fillId="0" borderId="84" xfId="0" applyNumberFormat="1" applyFont="1" applyFill="1" applyBorder="1" applyAlignment="1">
      <alignment vertical="center" shrinkToFit="1"/>
    </xf>
    <xf numFmtId="176" fontId="0" fillId="0" borderId="19" xfId="0" applyNumberFormat="1" applyFont="1" applyFill="1" applyBorder="1" applyAlignment="1">
      <alignment vertical="center" shrinkToFit="1"/>
    </xf>
    <xf numFmtId="179" fontId="0" fillId="0" borderId="19" xfId="0" applyNumberFormat="1" applyFont="1" applyFill="1" applyBorder="1" applyAlignment="1">
      <alignment vertical="center" shrinkToFit="1"/>
    </xf>
    <xf numFmtId="176" fontId="0" fillId="0" borderId="71" xfId="0" applyNumberFormat="1" applyFont="1" applyBorder="1" applyAlignment="1">
      <alignment horizontal="center" vertical="center"/>
    </xf>
    <xf numFmtId="176" fontId="0" fillId="0" borderId="70" xfId="0" applyNumberFormat="1" applyFont="1" applyBorder="1" applyAlignment="1">
      <alignment horizontal="center" vertical="center"/>
    </xf>
    <xf numFmtId="176" fontId="0" fillId="0" borderId="10" xfId="0" applyNumberFormat="1" applyFont="1" applyBorder="1" applyAlignment="1">
      <alignment vertical="center"/>
    </xf>
    <xf numFmtId="176" fontId="0" fillId="0" borderId="32" xfId="0" applyNumberFormat="1" applyFont="1" applyBorder="1" applyAlignment="1">
      <alignment vertical="center"/>
    </xf>
    <xf numFmtId="176" fontId="0" fillId="0" borderId="7" xfId="0" applyNumberFormat="1" applyFont="1" applyBorder="1" applyAlignment="1">
      <alignment horizontal="left" vertical="center" indent="1"/>
    </xf>
    <xf numFmtId="179" fontId="0" fillId="0" borderId="1" xfId="0" applyNumberFormat="1" applyFont="1" applyBorder="1" applyAlignment="1">
      <alignment vertical="center" shrinkToFit="1"/>
    </xf>
    <xf numFmtId="179" fontId="0" fillId="0" borderId="70" xfId="0" applyNumberFormat="1" applyFont="1" applyBorder="1" applyAlignment="1">
      <alignment vertical="center" shrinkToFit="1"/>
    </xf>
    <xf numFmtId="179" fontId="0" fillId="0" borderId="2" xfId="0" applyNumberFormat="1" applyFont="1" applyBorder="1" applyAlignment="1">
      <alignment vertical="center" shrinkToFit="1"/>
    </xf>
    <xf numFmtId="176" fontId="0" fillId="0" borderId="7" xfId="0" applyNumberFormat="1" applyFont="1" applyBorder="1" applyAlignment="1">
      <alignment horizontal="center" vertical="center"/>
    </xf>
    <xf numFmtId="179" fontId="0" fillId="0" borderId="71" xfId="0" applyNumberFormat="1" applyFont="1" applyBorder="1" applyAlignment="1">
      <alignment vertical="center" shrinkToFit="1"/>
    </xf>
    <xf numFmtId="179" fontId="0" fillId="0" borderId="8" xfId="0" applyNumberFormat="1" applyFont="1" applyBorder="1" applyAlignment="1">
      <alignment vertical="center" shrinkToFit="1"/>
    </xf>
    <xf numFmtId="176" fontId="0" fillId="0" borderId="72" xfId="0" applyNumberFormat="1" applyFont="1" applyBorder="1" applyAlignment="1">
      <alignment horizontal="center" vertical="center"/>
    </xf>
    <xf numFmtId="179" fontId="0" fillId="0" borderId="19" xfId="0" applyNumberFormat="1" applyFont="1" applyBorder="1" applyAlignment="1">
      <alignment vertical="center" shrinkToFit="1"/>
    </xf>
    <xf numFmtId="179" fontId="0" fillId="0" borderId="18" xfId="0" applyNumberFormat="1" applyFont="1" applyBorder="1" applyAlignment="1">
      <alignment vertical="center" shrinkToFit="1"/>
    </xf>
    <xf numFmtId="179" fontId="0" fillId="0" borderId="73" xfId="0" applyNumberFormat="1" applyFont="1" applyBorder="1" applyAlignment="1">
      <alignment vertical="center" shrinkToFit="1"/>
    </xf>
    <xf numFmtId="0" fontId="1" fillId="0" borderId="0" xfId="2" applyFont="1" applyBorder="1" applyAlignment="1">
      <alignment vertical="center"/>
    </xf>
    <xf numFmtId="0" fontId="1" fillId="0" borderId="0" xfId="2" applyFont="1" applyAlignment="1">
      <alignment vertical="center"/>
    </xf>
    <xf numFmtId="0" fontId="7" fillId="0" borderId="58" xfId="2" applyFont="1" applyBorder="1" applyAlignment="1">
      <alignment horizontal="center" vertical="center" wrapText="1"/>
    </xf>
    <xf numFmtId="0" fontId="7" fillId="0" borderId="88" xfId="2" applyFont="1" applyBorder="1" applyAlignment="1">
      <alignment vertical="center" wrapText="1"/>
    </xf>
    <xf numFmtId="0" fontId="1" fillId="0" borderId="88" xfId="2" applyFont="1" applyBorder="1" applyAlignment="1">
      <alignment vertical="center" wrapText="1"/>
    </xf>
    <xf numFmtId="0" fontId="7" fillId="0" borderId="88" xfId="2" applyFont="1" applyBorder="1" applyAlignment="1">
      <alignment horizontal="center" vertical="center"/>
    </xf>
    <xf numFmtId="0" fontId="10" fillId="0" borderId="0" xfId="2" applyFont="1" applyAlignment="1">
      <alignment horizontal="justify" vertical="center"/>
    </xf>
    <xf numFmtId="0" fontId="1" fillId="0" borderId="0" xfId="0" applyFont="1" applyAlignment="1">
      <alignment vertical="center"/>
    </xf>
    <xf numFmtId="0" fontId="7" fillId="0" borderId="75" xfId="0" applyFont="1" applyBorder="1" applyAlignment="1">
      <alignment horizontal="center" vertical="center" shrinkToFit="1"/>
    </xf>
    <xf numFmtId="0" fontId="1" fillId="0" borderId="0" xfId="0" applyFont="1">
      <alignment vertical="center"/>
    </xf>
    <xf numFmtId="0" fontId="7" fillId="0" borderId="0" xfId="2" applyFont="1" applyAlignment="1">
      <alignment horizontal="justify" vertical="center"/>
    </xf>
    <xf numFmtId="0" fontId="1" fillId="0" borderId="116"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52" xfId="2" applyFont="1" applyBorder="1" applyAlignment="1">
      <alignment horizontal="center" vertical="center" wrapText="1"/>
    </xf>
    <xf numFmtId="0" fontId="1" fillId="0" borderId="120" xfId="2" applyFont="1" applyBorder="1" applyAlignment="1">
      <alignment horizontal="center" vertical="center" wrapText="1"/>
    </xf>
    <xf numFmtId="0" fontId="1" fillId="0" borderId="121" xfId="2" applyFont="1" applyBorder="1" applyAlignment="1">
      <alignment horizontal="center" vertical="center" wrapText="1"/>
    </xf>
    <xf numFmtId="0" fontId="7" fillId="0" borderId="88" xfId="2" applyFont="1" applyBorder="1" applyAlignment="1">
      <alignment horizontal="left" vertical="center" wrapText="1"/>
    </xf>
    <xf numFmtId="0" fontId="1" fillId="0" borderId="16" xfId="2" applyFont="1" applyBorder="1" applyAlignment="1">
      <alignment vertical="center" wrapText="1"/>
    </xf>
    <xf numFmtId="0" fontId="1" fillId="0" borderId="10" xfId="2" applyFont="1" applyBorder="1" applyAlignment="1">
      <alignment horizontal="center" vertical="center" wrapText="1"/>
    </xf>
    <xf numFmtId="0" fontId="1" fillId="0" borderId="0" xfId="2" applyFont="1" applyBorder="1" applyAlignment="1">
      <alignment horizontal="center" vertical="center" wrapText="1"/>
    </xf>
    <xf numFmtId="0" fontId="1" fillId="0" borderId="1" xfId="2" applyFont="1" applyBorder="1" applyAlignment="1">
      <alignment horizontal="center" vertical="center" wrapText="1"/>
    </xf>
    <xf numFmtId="0" fontId="1" fillId="0" borderId="8" xfId="2" applyFont="1" applyBorder="1" applyAlignment="1">
      <alignment horizontal="center" vertical="center" wrapText="1"/>
    </xf>
    <xf numFmtId="0" fontId="1" fillId="0" borderId="118"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31" xfId="2" applyFont="1" applyBorder="1" applyAlignment="1">
      <alignment horizontal="center" vertical="center" wrapText="1"/>
    </xf>
    <xf numFmtId="0" fontId="1" fillId="0" borderId="60" xfId="2" applyFont="1" applyBorder="1" applyAlignment="1">
      <alignment horizontal="center" vertical="center" wrapText="1"/>
    </xf>
    <xf numFmtId="0" fontId="7" fillId="0" borderId="0" xfId="2" applyFont="1" applyBorder="1" applyAlignment="1">
      <alignment vertical="center" wrapText="1"/>
    </xf>
    <xf numFmtId="0" fontId="7" fillId="0" borderId="32" xfId="2" applyFont="1" applyBorder="1" applyAlignment="1">
      <alignment vertical="center" wrapText="1"/>
    </xf>
    <xf numFmtId="0" fontId="1" fillId="0" borderId="0" xfId="2" applyFont="1" applyAlignment="1">
      <alignment vertical="center" wrapText="1"/>
    </xf>
    <xf numFmtId="177" fontId="0" fillId="0" borderId="0" xfId="0" applyNumberFormat="1" applyFont="1" applyAlignment="1">
      <alignment vertical="center"/>
    </xf>
    <xf numFmtId="177" fontId="0" fillId="0" borderId="0" xfId="0" applyNumberFormat="1" applyFont="1" applyBorder="1" applyAlignment="1">
      <alignment vertical="center"/>
    </xf>
    <xf numFmtId="177" fontId="0" fillId="0" borderId="0" xfId="0" applyNumberFormat="1" applyFont="1" applyBorder="1" applyAlignment="1">
      <alignment horizontal="right" vertical="center"/>
    </xf>
    <xf numFmtId="177" fontId="0" fillId="0" borderId="4" xfId="0" applyNumberFormat="1" applyFont="1" applyBorder="1" applyAlignment="1">
      <alignment vertical="center"/>
    </xf>
    <xf numFmtId="177" fontId="0" fillId="0" borderId="5" xfId="0" applyNumberFormat="1" applyFont="1" applyBorder="1" applyAlignment="1">
      <alignment vertical="center"/>
    </xf>
    <xf numFmtId="177" fontId="0" fillId="0" borderId="4" xfId="0" applyNumberFormat="1" applyFont="1" applyBorder="1" applyAlignment="1">
      <alignment horizontal="center" vertical="center"/>
    </xf>
    <xf numFmtId="177" fontId="0" fillId="0" borderId="1" xfId="0" applyNumberFormat="1" applyFont="1" applyBorder="1" applyAlignment="1">
      <alignment vertical="center" shrinkToFit="1"/>
    </xf>
    <xf numFmtId="177" fontId="0" fillId="0" borderId="10" xfId="0" applyNumberFormat="1" applyFont="1" applyBorder="1" applyAlignment="1">
      <alignment vertical="center" shrinkToFit="1"/>
    </xf>
    <xf numFmtId="177" fontId="0" fillId="2" borderId="10" xfId="0" applyNumberFormat="1" applyFont="1" applyFill="1" applyBorder="1" applyAlignment="1">
      <alignment horizontal="center" vertical="center" shrinkToFit="1"/>
    </xf>
    <xf numFmtId="177" fontId="0" fillId="2" borderId="113" xfId="0" applyNumberFormat="1" applyFont="1" applyFill="1" applyBorder="1" applyAlignment="1">
      <alignment vertical="center" shrinkToFit="1"/>
    </xf>
    <xf numFmtId="178" fontId="0" fillId="2" borderId="113" xfId="0" applyNumberFormat="1" applyFont="1" applyFill="1" applyBorder="1" applyAlignment="1">
      <alignment vertical="center" shrinkToFit="1"/>
    </xf>
    <xf numFmtId="177" fontId="0" fillId="0" borderId="0" xfId="0" applyNumberFormat="1" applyFont="1" applyFill="1" applyBorder="1" applyAlignment="1">
      <alignment vertical="center"/>
    </xf>
    <xf numFmtId="177" fontId="0" fillId="2" borderId="17" xfId="0" applyNumberFormat="1" applyFont="1" applyFill="1" applyBorder="1" applyAlignment="1">
      <alignment vertical="center"/>
    </xf>
    <xf numFmtId="177" fontId="0" fillId="2" borderId="11" xfId="0" applyNumberFormat="1" applyFont="1" applyFill="1" applyBorder="1" applyAlignment="1">
      <alignment vertical="center"/>
    </xf>
    <xf numFmtId="177" fontId="0" fillId="0" borderId="14" xfId="3" applyNumberFormat="1" applyFont="1" applyBorder="1" applyAlignment="1">
      <alignment vertical="center" shrinkToFit="1"/>
    </xf>
    <xf numFmtId="177" fontId="0" fillId="0" borderId="14" xfId="0" applyNumberFormat="1" applyFont="1" applyBorder="1" applyAlignment="1">
      <alignment vertical="center"/>
    </xf>
    <xf numFmtId="177" fontId="0" fillId="0" borderId="15" xfId="0" applyNumberFormat="1" applyFont="1" applyFill="1" applyBorder="1" applyAlignment="1">
      <alignment horizontal="left" vertical="center"/>
    </xf>
    <xf numFmtId="177" fontId="0" fillId="0" borderId="15" xfId="0" applyNumberFormat="1" applyFont="1" applyBorder="1" applyAlignment="1">
      <alignment vertical="center"/>
    </xf>
    <xf numFmtId="177" fontId="0" fillId="0" borderId="0" xfId="3" applyNumberFormat="1" applyFont="1" applyAlignment="1">
      <alignment vertical="center"/>
    </xf>
    <xf numFmtId="177" fontId="0" fillId="0" borderId="0" xfId="3" applyNumberFormat="1" applyFont="1" applyBorder="1" applyAlignment="1">
      <alignment vertical="center"/>
    </xf>
    <xf numFmtId="177" fontId="0" fillId="0" borderId="0" xfId="0" applyNumberFormat="1" applyFont="1" applyBorder="1" applyAlignment="1">
      <alignment horizontal="center" vertical="center"/>
    </xf>
    <xf numFmtId="177" fontId="0" fillId="0" borderId="0" xfId="0" applyNumberFormat="1" applyFont="1" applyBorder="1" applyAlignment="1">
      <alignment vertical="center" shrinkToFit="1"/>
    </xf>
    <xf numFmtId="177" fontId="0" fillId="0" borderId="0" xfId="0" applyNumberFormat="1" applyFont="1" applyBorder="1" applyAlignment="1">
      <alignment horizontal="center" vertical="center" shrinkToFit="1"/>
    </xf>
    <xf numFmtId="177" fontId="0" fillId="2" borderId="18" xfId="0" applyNumberFormat="1" applyFont="1" applyFill="1" applyBorder="1" applyAlignment="1">
      <alignment vertical="center"/>
    </xf>
    <xf numFmtId="177" fontId="0" fillId="2" borderId="19" xfId="0" applyNumberFormat="1" applyFont="1" applyFill="1" applyBorder="1" applyAlignment="1">
      <alignment vertical="center"/>
    </xf>
    <xf numFmtId="177" fontId="0" fillId="0" borderId="40" xfId="3" applyNumberFormat="1" applyFont="1" applyBorder="1" applyAlignment="1">
      <alignment vertical="center"/>
    </xf>
    <xf numFmtId="181" fontId="0" fillId="0" borderId="47" xfId="1" applyNumberFormat="1" applyFont="1" applyBorder="1" applyAlignment="1">
      <alignment vertical="center"/>
    </xf>
    <xf numFmtId="177" fontId="0" fillId="0" borderId="48" xfId="3" applyNumberFormat="1" applyFont="1" applyBorder="1" applyAlignment="1">
      <alignment vertical="center"/>
    </xf>
    <xf numFmtId="176" fontId="0" fillId="0" borderId="0" xfId="0" applyNumberFormat="1" applyFont="1" applyAlignment="1">
      <alignment vertical="center" shrinkToFit="1"/>
    </xf>
    <xf numFmtId="176" fontId="0" fillId="0" borderId="0" xfId="0" applyNumberFormat="1" applyFont="1" applyBorder="1" applyAlignment="1">
      <alignment vertical="center" shrinkToFit="1"/>
    </xf>
    <xf numFmtId="177" fontId="0" fillId="0" borderId="5" xfId="0" applyNumberFormat="1" applyFont="1" applyBorder="1" applyAlignment="1">
      <alignment horizontal="center" vertical="center" shrinkToFit="1"/>
    </xf>
    <xf numFmtId="177" fontId="0" fillId="2" borderId="1" xfId="0" applyNumberFormat="1" applyFont="1" applyFill="1" applyBorder="1" applyAlignment="1">
      <alignment vertical="center" shrinkToFit="1"/>
    </xf>
    <xf numFmtId="177" fontId="0" fillId="0" borderId="1" xfId="3" applyNumberFormat="1" applyFont="1" applyBorder="1" applyAlignment="1">
      <alignment vertical="center" shrinkToFit="1"/>
    </xf>
    <xf numFmtId="177" fontId="0" fillId="0" borderId="88" xfId="0" applyNumberFormat="1" applyFont="1" applyFill="1" applyBorder="1" applyAlignment="1">
      <alignment vertical="center"/>
    </xf>
    <xf numFmtId="177" fontId="0" fillId="0" borderId="88" xfId="0" applyNumberFormat="1" applyFont="1" applyBorder="1" applyAlignment="1">
      <alignment vertical="center" shrinkToFit="1"/>
    </xf>
    <xf numFmtId="176" fontId="0" fillId="0" borderId="77" xfId="0" applyNumberFormat="1" applyFont="1" applyBorder="1" applyAlignment="1">
      <alignment vertical="center" shrinkToFit="1"/>
    </xf>
    <xf numFmtId="176" fontId="0" fillId="0" borderId="2" xfId="0" applyNumberFormat="1" applyFont="1" applyBorder="1" applyAlignment="1">
      <alignment vertical="center" shrinkToFit="1"/>
    </xf>
    <xf numFmtId="176" fontId="0" fillId="2" borderId="113" xfId="0" applyNumberFormat="1" applyFont="1" applyFill="1" applyBorder="1" applyAlignment="1">
      <alignment vertical="center" shrinkToFit="1"/>
    </xf>
    <xf numFmtId="176" fontId="0" fillId="2" borderId="123" xfId="0" applyNumberFormat="1" applyFont="1" applyFill="1" applyBorder="1" applyAlignment="1">
      <alignment vertical="center" shrinkToFit="1"/>
    </xf>
    <xf numFmtId="176" fontId="0" fillId="2" borderId="11" xfId="0" applyNumberFormat="1" applyFont="1" applyFill="1" applyBorder="1" applyAlignment="1">
      <alignment horizontal="center" vertical="center" shrinkToFit="1"/>
    </xf>
    <xf numFmtId="176" fontId="0" fillId="2" borderId="11" xfId="0" applyNumberFormat="1" applyFont="1" applyFill="1" applyBorder="1" applyAlignment="1">
      <alignment vertical="center" shrinkToFit="1"/>
    </xf>
    <xf numFmtId="176" fontId="0" fillId="2" borderId="124" xfId="0" applyNumberFormat="1" applyFont="1" applyFill="1" applyBorder="1" applyAlignment="1">
      <alignment vertical="center" shrinkToFit="1"/>
    </xf>
    <xf numFmtId="176" fontId="0" fillId="2" borderId="19" xfId="0" applyNumberFormat="1" applyFont="1" applyFill="1" applyBorder="1" applyAlignment="1">
      <alignment horizontal="center" vertical="center" shrinkToFit="1"/>
    </xf>
    <xf numFmtId="176" fontId="0" fillId="2" borderId="19" xfId="0" applyNumberFormat="1" applyFont="1" applyFill="1" applyBorder="1" applyAlignment="1">
      <alignment vertical="center" shrinkToFit="1"/>
    </xf>
    <xf numFmtId="176" fontId="0" fillId="2" borderId="73" xfId="0" applyNumberFormat="1" applyFont="1" applyFill="1" applyBorder="1" applyAlignment="1">
      <alignment vertical="center" shrinkToFit="1"/>
    </xf>
    <xf numFmtId="176" fontId="0" fillId="0" borderId="24" xfId="0" applyNumberFormat="1" applyFont="1" applyBorder="1" applyAlignment="1">
      <alignment vertical="center" shrinkToFit="1"/>
    </xf>
    <xf numFmtId="176" fontId="0" fillId="0" borderId="0" xfId="0" applyNumberFormat="1" applyFont="1" applyFill="1" applyBorder="1" applyAlignment="1">
      <alignment horizontal="center" vertical="center" shrinkToFit="1"/>
    </xf>
    <xf numFmtId="176" fontId="0" fillId="0" borderId="0" xfId="0" applyNumberFormat="1" applyFont="1" applyFill="1" applyBorder="1" applyAlignment="1">
      <alignment vertical="center" shrinkToFit="1"/>
    </xf>
    <xf numFmtId="176" fontId="0" fillId="0" borderId="0" xfId="0" applyNumberFormat="1" applyFont="1" applyFill="1" applyBorder="1" applyAlignment="1">
      <alignment horizontal="left" vertical="center"/>
    </xf>
    <xf numFmtId="176" fontId="0" fillId="6" borderId="19" xfId="0" applyNumberFormat="1" applyFont="1" applyFill="1" applyBorder="1" applyAlignment="1">
      <alignment vertical="center" shrinkToFit="1"/>
    </xf>
    <xf numFmtId="176" fontId="0" fillId="6" borderId="123" xfId="0" applyNumberFormat="1" applyFont="1" applyFill="1" applyBorder="1" applyAlignment="1">
      <alignment vertical="center" shrinkToFit="1"/>
    </xf>
    <xf numFmtId="183" fontId="0" fillId="6" borderId="113" xfId="0" applyNumberFormat="1" applyFont="1" applyFill="1" applyBorder="1" applyAlignment="1">
      <alignment vertical="center" shrinkToFit="1"/>
    </xf>
    <xf numFmtId="183" fontId="0" fillId="6" borderId="55" xfId="0" applyNumberFormat="1" applyFont="1" applyFill="1" applyBorder="1" applyAlignment="1">
      <alignment vertical="center" shrinkToFit="1"/>
    </xf>
    <xf numFmtId="183" fontId="0" fillId="6" borderId="22" xfId="0" applyNumberFormat="1" applyFont="1" applyFill="1" applyBorder="1" applyAlignment="1">
      <alignment vertical="center" shrinkToFit="1"/>
    </xf>
    <xf numFmtId="183" fontId="0" fillId="6" borderId="125" xfId="0" applyNumberFormat="1" applyFont="1" applyFill="1" applyBorder="1" applyAlignment="1">
      <alignment vertical="center" shrinkToFit="1"/>
    </xf>
    <xf numFmtId="176" fontId="0" fillId="0" borderId="0" xfId="0" applyNumberFormat="1" applyFont="1" applyFill="1" applyAlignment="1">
      <alignment vertical="center"/>
    </xf>
    <xf numFmtId="183" fontId="0" fillId="6" borderId="132" xfId="0" applyNumberFormat="1" applyFont="1" applyFill="1" applyBorder="1" applyAlignment="1">
      <alignment vertical="center" shrinkToFit="1"/>
    </xf>
    <xf numFmtId="177" fontId="0" fillId="0" borderId="77" xfId="0" applyNumberFormat="1" applyFont="1" applyBorder="1" applyAlignment="1">
      <alignment vertical="center" shrinkToFit="1"/>
    </xf>
    <xf numFmtId="177" fontId="0" fillId="2" borderId="125" xfId="0" applyNumberFormat="1" applyFont="1" applyFill="1" applyBorder="1" applyAlignment="1">
      <alignment vertical="center" shrinkToFit="1"/>
    </xf>
    <xf numFmtId="181" fontId="0" fillId="0" borderId="34" xfId="1" applyNumberFormat="1" applyFont="1" applyFill="1" applyBorder="1" applyAlignment="1">
      <alignment vertical="center"/>
    </xf>
    <xf numFmtId="181" fontId="0" fillId="0" borderId="24" xfId="1" applyNumberFormat="1" applyFont="1" applyFill="1" applyBorder="1" applyAlignment="1">
      <alignment vertical="center"/>
    </xf>
    <xf numFmtId="181" fontId="0" fillId="6" borderId="49" xfId="1" applyNumberFormat="1" applyFont="1" applyFill="1" applyBorder="1" applyAlignment="1">
      <alignment vertical="center"/>
    </xf>
    <xf numFmtId="177" fontId="0" fillId="0" borderId="1" xfId="0" applyNumberFormat="1" applyFill="1" applyBorder="1" applyAlignment="1">
      <alignment vertical="center"/>
    </xf>
    <xf numFmtId="0" fontId="0" fillId="0" borderId="0" xfId="0" applyFont="1" applyFill="1" applyAlignment="1">
      <alignment vertical="center"/>
    </xf>
    <xf numFmtId="176" fontId="0" fillId="0" borderId="0" xfId="0" applyNumberFormat="1" applyFont="1" applyFill="1" applyBorder="1" applyAlignment="1">
      <alignment vertical="center"/>
    </xf>
    <xf numFmtId="0" fontId="0" fillId="0" borderId="56" xfId="0" applyFont="1" applyBorder="1" applyAlignment="1">
      <alignment vertical="center"/>
    </xf>
    <xf numFmtId="0" fontId="0" fillId="0" borderId="45" xfId="0" applyFont="1" applyBorder="1" applyAlignment="1">
      <alignment vertical="center"/>
    </xf>
    <xf numFmtId="181" fontId="0" fillId="0" borderId="140" xfId="1" applyNumberFormat="1" applyFont="1" applyFill="1" applyBorder="1" applyAlignment="1">
      <alignment vertical="center"/>
    </xf>
    <xf numFmtId="177" fontId="0" fillId="0" borderId="141" xfId="0" applyNumberFormat="1" applyFill="1" applyBorder="1" applyAlignment="1">
      <alignment vertical="center"/>
    </xf>
    <xf numFmtId="177" fontId="0" fillId="0" borderId="142" xfId="3" applyNumberFormat="1" applyFont="1" applyBorder="1" applyAlignment="1">
      <alignment vertical="center"/>
    </xf>
    <xf numFmtId="177" fontId="0" fillId="6" borderId="143" xfId="0" applyNumberFormat="1" applyFont="1" applyFill="1" applyBorder="1" applyAlignment="1">
      <alignment vertical="center" shrinkToFit="1"/>
    </xf>
    <xf numFmtId="177" fontId="0" fillId="0" borderId="143" xfId="3" applyNumberFormat="1" applyFont="1" applyBorder="1" applyAlignment="1">
      <alignment vertical="center"/>
    </xf>
    <xf numFmtId="177" fontId="0" fillId="0" borderId="109" xfId="3" applyNumberFormat="1" applyFont="1" applyBorder="1" applyAlignment="1">
      <alignment horizontal="right" vertical="center"/>
    </xf>
    <xf numFmtId="177" fontId="0" fillId="0" borderId="109" xfId="3" applyNumberFormat="1" applyFont="1" applyBorder="1" applyAlignment="1">
      <alignment horizontal="left" vertical="center" shrinkToFit="1"/>
    </xf>
    <xf numFmtId="177" fontId="0" fillId="0" borderId="144" xfId="0" applyNumberFormat="1" applyFont="1" applyBorder="1" applyAlignment="1">
      <alignment vertical="center"/>
    </xf>
    <xf numFmtId="177" fontId="0" fillId="0" borderId="145" xfId="0" applyNumberFormat="1" applyFont="1" applyBorder="1" applyAlignment="1">
      <alignment vertical="center"/>
    </xf>
    <xf numFmtId="177" fontId="0" fillId="0" borderId="146" xfId="0" applyNumberFormat="1" applyFont="1" applyBorder="1" applyAlignment="1">
      <alignment vertical="center"/>
    </xf>
    <xf numFmtId="177" fontId="0" fillId="0" borderId="141" xfId="0" applyNumberFormat="1" applyFont="1" applyBorder="1" applyAlignment="1">
      <alignment vertical="center"/>
    </xf>
    <xf numFmtId="177" fontId="0" fillId="0" borderId="147" xfId="3" applyNumberFormat="1" applyFont="1" applyBorder="1" applyAlignment="1">
      <alignment vertical="center"/>
    </xf>
    <xf numFmtId="177" fontId="0" fillId="0" borderId="148" xfId="3" applyNumberFormat="1" applyFont="1" applyBorder="1" applyAlignment="1">
      <alignment vertical="center"/>
    </xf>
    <xf numFmtId="177" fontId="0" fillId="0" borderId="149" xfId="3" applyNumberFormat="1" applyFont="1" applyBorder="1" applyAlignment="1">
      <alignment vertical="center"/>
    </xf>
    <xf numFmtId="177" fontId="0" fillId="0" borderId="145" xfId="0" applyNumberFormat="1" applyFont="1" applyFill="1" applyBorder="1" applyAlignment="1">
      <alignment vertical="center"/>
    </xf>
    <xf numFmtId="177" fontId="0" fillId="0" borderId="141" xfId="0" applyNumberFormat="1" applyFont="1" applyFill="1" applyBorder="1" applyAlignment="1">
      <alignment horizontal="center" vertical="center"/>
    </xf>
    <xf numFmtId="177" fontId="0" fillId="0" borderId="141" xfId="0" applyNumberFormat="1" applyFont="1" applyFill="1" applyBorder="1" applyAlignment="1">
      <alignment vertical="center"/>
    </xf>
    <xf numFmtId="177" fontId="0" fillId="0" borderId="145" xfId="0" applyNumberFormat="1" applyFill="1" applyBorder="1" applyAlignment="1">
      <alignment vertical="center"/>
    </xf>
    <xf numFmtId="178" fontId="0" fillId="0" borderId="141" xfId="0" applyNumberFormat="1" applyFont="1" applyFill="1" applyBorder="1" applyAlignment="1">
      <alignment vertical="center"/>
    </xf>
    <xf numFmtId="9" fontId="0" fillId="0" borderId="14" xfId="0" applyNumberFormat="1" applyFont="1" applyFill="1" applyBorder="1" applyAlignment="1">
      <alignment vertical="center"/>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2" xfId="0" applyNumberFormat="1" applyFill="1" applyBorder="1" applyAlignment="1">
      <alignment vertical="center"/>
    </xf>
    <xf numFmtId="177" fontId="0" fillId="0" borderId="126" xfId="0" applyNumberFormat="1" applyFont="1" applyFill="1" applyBorder="1" applyAlignment="1">
      <alignment vertical="center"/>
    </xf>
    <xf numFmtId="177" fontId="0" fillId="0" borderId="12" xfId="0" applyNumberFormat="1" applyFont="1" applyFill="1" applyBorder="1" applyAlignment="1">
      <alignment horizontal="center" vertical="center"/>
    </xf>
    <xf numFmtId="177" fontId="0" fillId="0" borderId="80" xfId="0" applyNumberFormat="1" applyFont="1" applyFill="1" applyBorder="1" applyAlignment="1">
      <alignment horizontal="center" vertical="center"/>
    </xf>
    <xf numFmtId="177" fontId="0" fillId="0" borderId="13" xfId="0" applyNumberFormat="1" applyFill="1" applyBorder="1" applyAlignment="1">
      <alignment vertical="center"/>
    </xf>
    <xf numFmtId="177" fontId="0" fillId="0" borderId="52" xfId="0" applyNumberFormat="1" applyFont="1" applyFill="1" applyBorder="1" applyAlignment="1">
      <alignment vertical="center"/>
    </xf>
    <xf numFmtId="177" fontId="0" fillId="0" borderId="21" xfId="0" applyNumberFormat="1" applyFill="1" applyBorder="1" applyAlignment="1">
      <alignmen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7" xfId="0" applyNumberFormat="1" applyFont="1" applyFill="1" applyBorder="1" applyAlignment="1">
      <alignment horizontal="center" vertical="center" shrinkToFit="1"/>
    </xf>
    <xf numFmtId="177" fontId="0" fillId="0" borderId="1" xfId="0" applyNumberFormat="1" applyFont="1" applyFill="1" applyBorder="1" applyAlignment="1">
      <alignment horizontal="center" vertical="center" shrinkToFit="1"/>
    </xf>
    <xf numFmtId="177" fontId="0" fillId="0" borderId="7" xfId="0" applyNumberFormat="1" applyFont="1" applyFill="1" applyBorder="1" applyAlignment="1">
      <alignment vertical="center" shrinkToFit="1"/>
    </xf>
    <xf numFmtId="177" fontId="0" fillId="0" borderId="1" xfId="0" applyNumberFormat="1" applyFont="1" applyFill="1" applyBorder="1" applyAlignment="1">
      <alignment vertical="center" shrinkToFit="1"/>
    </xf>
    <xf numFmtId="177" fontId="0" fillId="0" borderId="13" xfId="0" applyNumberFormat="1" applyFont="1" applyFill="1" applyBorder="1" applyAlignment="1">
      <alignment vertical="center" shrinkToFit="1"/>
    </xf>
    <xf numFmtId="177" fontId="0" fillId="0" borderId="145" xfId="0" applyNumberFormat="1" applyFont="1" applyFill="1" applyBorder="1" applyAlignment="1">
      <alignment vertical="center" shrinkToFit="1"/>
    </xf>
    <xf numFmtId="177" fontId="0" fillId="0" borderId="10" xfId="0" applyNumberFormat="1" applyFont="1" applyFill="1" applyBorder="1" applyAlignment="1">
      <alignment vertical="center" shrinkToFit="1"/>
    </xf>
    <xf numFmtId="177" fontId="0" fillId="0" borderId="74" xfId="0" applyNumberFormat="1" applyFont="1" applyFill="1" applyBorder="1" applyAlignment="1">
      <alignment vertical="center" shrinkToFit="1"/>
    </xf>
    <xf numFmtId="177" fontId="0" fillId="0" borderId="9" xfId="0" applyNumberFormat="1" applyFill="1" applyBorder="1" applyAlignment="1">
      <alignment vertical="center" shrinkToFit="1"/>
    </xf>
    <xf numFmtId="177" fontId="0" fillId="0" borderId="52" xfId="0" applyNumberFormat="1" applyFont="1" applyFill="1" applyBorder="1" applyAlignment="1">
      <alignment vertical="center" shrinkToFit="1"/>
    </xf>
    <xf numFmtId="177" fontId="0" fillId="0" borderId="8" xfId="0" applyNumberFormat="1" applyFont="1" applyFill="1" applyBorder="1" applyAlignment="1">
      <alignment vertical="center"/>
    </xf>
    <xf numFmtId="177" fontId="0" fillId="0" borderId="8" xfId="0" applyNumberFormat="1" applyFont="1" applyFill="1" applyBorder="1" applyAlignment="1">
      <alignment vertical="center" shrinkToFit="1"/>
    </xf>
    <xf numFmtId="177" fontId="0" fillId="0" borderId="15" xfId="0" applyNumberFormat="1" applyFont="1" applyFill="1" applyBorder="1" applyAlignment="1">
      <alignment vertical="center"/>
    </xf>
    <xf numFmtId="177" fontId="0" fillId="0" borderId="146" xfId="0" applyNumberFormat="1" applyFont="1" applyFill="1" applyBorder="1" applyAlignment="1">
      <alignment vertical="center"/>
    </xf>
    <xf numFmtId="177" fontId="0" fillId="0" borderId="13" xfId="0" applyNumberFormat="1" applyFill="1" applyBorder="1" applyAlignment="1">
      <alignment vertical="center" shrinkToFit="1"/>
    </xf>
    <xf numFmtId="177" fontId="0" fillId="0" borderId="1" xfId="0" applyNumberFormat="1" applyFill="1" applyBorder="1" applyAlignment="1">
      <alignment vertical="center" shrinkToFit="1"/>
    </xf>
    <xf numFmtId="177" fontId="0" fillId="0" borderId="88" xfId="0" applyNumberFormat="1" applyFont="1" applyFill="1" applyBorder="1" applyAlignment="1">
      <alignment vertical="center" shrinkToFit="1"/>
    </xf>
    <xf numFmtId="177" fontId="0" fillId="0" borderId="141" xfId="3" applyNumberFormat="1" applyFont="1" applyFill="1" applyBorder="1" applyAlignment="1">
      <alignment vertical="center"/>
    </xf>
    <xf numFmtId="0" fontId="0" fillId="0" borderId="14" xfId="3" applyFont="1" applyFill="1" applyBorder="1" applyAlignment="1">
      <alignment vertical="center" shrinkToFit="1"/>
    </xf>
    <xf numFmtId="0" fontId="0" fillId="0" borderId="15" xfId="3" applyFont="1" applyFill="1" applyBorder="1" applyAlignment="1">
      <alignment vertical="center" shrinkToFit="1"/>
    </xf>
    <xf numFmtId="178" fontId="0" fillId="0" borderId="15" xfId="0" applyNumberFormat="1" applyFont="1" applyFill="1" applyBorder="1" applyAlignment="1">
      <alignment horizontal="left" vertical="center"/>
    </xf>
    <xf numFmtId="178" fontId="0" fillId="0" borderId="145" xfId="0" applyNumberFormat="1" applyFont="1" applyFill="1" applyBorder="1" applyAlignment="1">
      <alignment horizontal="left" vertical="center"/>
    </xf>
    <xf numFmtId="177" fontId="0" fillId="0" borderId="145" xfId="3" applyNumberFormat="1" applyFont="1" applyFill="1" applyBorder="1" applyAlignment="1">
      <alignment vertical="center" shrinkToFit="1"/>
    </xf>
    <xf numFmtId="182" fontId="0" fillId="0" borderId="14" xfId="0" applyNumberFormat="1" applyFont="1" applyFill="1" applyBorder="1" applyAlignment="1">
      <alignment vertical="center"/>
    </xf>
    <xf numFmtId="177" fontId="0" fillId="0" borderId="151" xfId="3" applyNumberFormat="1" applyFont="1" applyBorder="1" applyAlignment="1">
      <alignment horizontal="center" vertical="center" shrinkToFit="1"/>
    </xf>
    <xf numFmtId="176" fontId="0" fillId="2" borderId="53" xfId="0" applyNumberFormat="1" applyFont="1" applyFill="1" applyBorder="1" applyAlignment="1">
      <alignment horizontal="center" vertical="center" shrinkToFit="1"/>
    </xf>
    <xf numFmtId="177" fontId="0" fillId="2" borderId="53" xfId="0" applyNumberFormat="1" applyFont="1" applyFill="1" applyBorder="1" applyAlignment="1">
      <alignment vertical="center" shrinkToFit="1"/>
    </xf>
    <xf numFmtId="177" fontId="0" fillId="0" borderId="156" xfId="3" applyNumberFormat="1" applyFont="1" applyBorder="1" applyAlignment="1">
      <alignment vertical="center" shrinkToFit="1"/>
    </xf>
    <xf numFmtId="177" fontId="0" fillId="0" borderId="24" xfId="3" applyNumberFormat="1" applyFont="1" applyBorder="1" applyAlignment="1">
      <alignment vertical="center" shrinkToFit="1"/>
    </xf>
    <xf numFmtId="177" fontId="0" fillId="0" borderId="24" xfId="3" applyNumberFormat="1" applyFont="1" applyFill="1" applyBorder="1" applyAlignment="1">
      <alignment vertical="center" shrinkToFit="1"/>
    </xf>
    <xf numFmtId="0" fontId="7" fillId="0" borderId="76" xfId="0" applyFont="1" applyBorder="1" applyAlignment="1">
      <alignment horizontal="center" vertical="center" shrinkToFit="1"/>
    </xf>
    <xf numFmtId="176" fontId="0" fillId="2" borderId="154" xfId="0" applyNumberFormat="1" applyFont="1" applyFill="1" applyBorder="1" applyAlignment="1">
      <alignment vertical="center" shrinkToFit="1"/>
    </xf>
    <xf numFmtId="176" fontId="0" fillId="0" borderId="63" xfId="0" applyNumberFormat="1" applyFont="1" applyBorder="1" applyAlignment="1">
      <alignment vertical="center"/>
    </xf>
    <xf numFmtId="177" fontId="0" fillId="2" borderId="53" xfId="3" applyNumberFormat="1" applyFont="1" applyFill="1" applyBorder="1" applyAlignment="1">
      <alignment horizontal="center" vertical="center" shrinkToFit="1"/>
    </xf>
    <xf numFmtId="177" fontId="0" fillId="2" borderId="53" xfId="3" applyNumberFormat="1" applyFont="1" applyFill="1" applyBorder="1" applyAlignment="1">
      <alignment vertical="center" shrinkToFit="1"/>
    </xf>
    <xf numFmtId="176" fontId="0" fillId="6" borderId="154" xfId="0" applyNumberFormat="1" applyFont="1" applyFill="1" applyBorder="1" applyAlignment="1">
      <alignment vertical="center"/>
    </xf>
    <xf numFmtId="176" fontId="0" fillId="0" borderId="156"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77" fontId="0" fillId="0" borderId="87" xfId="0" applyNumberFormat="1" applyFont="1" applyBorder="1" applyAlignment="1">
      <alignment vertical="center" shrinkToFit="1"/>
    </xf>
    <xf numFmtId="176" fontId="0" fillId="6" borderId="113" xfId="0" applyNumberFormat="1" applyFont="1" applyFill="1" applyBorder="1" applyAlignment="1">
      <alignment horizontal="center" vertical="center" shrinkToFit="1"/>
    </xf>
    <xf numFmtId="176" fontId="0" fillId="6" borderId="125" xfId="0" applyNumberFormat="1" applyFont="1" applyFill="1" applyBorder="1" applyAlignment="1">
      <alignment horizontal="center" vertical="center" shrinkToFit="1"/>
    </xf>
    <xf numFmtId="177" fontId="0" fillId="0" borderId="38" xfId="0" applyNumberFormat="1" applyFont="1" applyBorder="1" applyAlignment="1">
      <alignment horizontal="center" vertical="center" shrinkToFit="1"/>
    </xf>
    <xf numFmtId="177" fontId="0" fillId="0" borderId="62" xfId="0" applyNumberFormat="1" applyFont="1" applyBorder="1" applyAlignment="1">
      <alignment horizontal="center" vertical="center" shrinkToFit="1"/>
    </xf>
    <xf numFmtId="176" fontId="0" fillId="0" borderId="157" xfId="0" applyNumberFormat="1" applyFont="1" applyBorder="1" applyAlignment="1">
      <alignment vertical="center"/>
    </xf>
    <xf numFmtId="176" fontId="0" fillId="0" borderId="160" xfId="0" applyNumberFormat="1" applyFont="1" applyBorder="1" applyAlignment="1">
      <alignment vertical="center"/>
    </xf>
    <xf numFmtId="179" fontId="0" fillId="0" borderId="24" xfId="0" applyNumberFormat="1" applyFont="1" applyFill="1" applyBorder="1" applyAlignment="1">
      <alignment vertical="center"/>
    </xf>
    <xf numFmtId="9" fontId="0" fillId="0" borderId="24" xfId="3" applyNumberFormat="1" applyFont="1" applyFill="1" applyBorder="1" applyAlignment="1">
      <alignment vertical="center" shrinkToFit="1"/>
    </xf>
    <xf numFmtId="9" fontId="0" fillId="0" borderId="156" xfId="3" applyNumberFormat="1" applyFont="1" applyFill="1" applyBorder="1" applyAlignment="1">
      <alignment vertical="center" shrinkToFit="1"/>
    </xf>
    <xf numFmtId="3" fontId="0" fillId="0" borderId="24" xfId="5" applyNumberFormat="1" applyFont="1" applyFill="1" applyBorder="1" applyAlignment="1">
      <alignment vertical="center" shrinkToFit="1"/>
    </xf>
    <xf numFmtId="176" fontId="0" fillId="0" borderId="63" xfId="0" applyNumberFormat="1" applyFont="1" applyBorder="1" applyAlignment="1">
      <alignment vertical="center" shrinkToFit="1"/>
    </xf>
    <xf numFmtId="177" fontId="0" fillId="2" borderId="165" xfId="0" applyNumberFormat="1" applyFont="1" applyFill="1" applyBorder="1" applyAlignment="1">
      <alignment vertical="center" shrinkToFit="1"/>
    </xf>
    <xf numFmtId="176" fontId="0" fillId="2" borderId="166" xfId="0" applyNumberFormat="1" applyFont="1" applyFill="1" applyBorder="1" applyAlignment="1">
      <alignment vertical="center" shrinkToFit="1"/>
    </xf>
    <xf numFmtId="177" fontId="0" fillId="2" borderId="162" xfId="3" applyNumberFormat="1" applyFont="1" applyFill="1" applyBorder="1" applyAlignment="1">
      <alignment horizontal="center" vertical="center" shrinkToFit="1"/>
    </xf>
    <xf numFmtId="177" fontId="0" fillId="2" borderId="162" xfId="3" applyNumberFormat="1" applyFont="1" applyFill="1" applyBorder="1" applyAlignment="1">
      <alignment vertical="center" shrinkToFit="1"/>
    </xf>
    <xf numFmtId="176" fontId="0" fillId="6" borderId="167" xfId="0" applyNumberFormat="1" applyFont="1" applyFill="1" applyBorder="1" applyAlignment="1">
      <alignment vertical="center"/>
    </xf>
    <xf numFmtId="177" fontId="0" fillId="0" borderId="170" xfId="0" applyNumberFormat="1" applyFont="1" applyFill="1" applyBorder="1" applyAlignment="1">
      <alignment vertical="center" shrinkToFit="1"/>
    </xf>
    <xf numFmtId="177" fontId="0" fillId="0" borderId="163" xfId="0" applyNumberFormat="1" applyFill="1" applyBorder="1" applyAlignment="1">
      <alignment vertical="center"/>
    </xf>
    <xf numFmtId="181" fontId="0" fillId="0" borderId="130" xfId="0" applyNumberFormat="1" applyFont="1" applyBorder="1" applyAlignment="1">
      <alignment horizontal="right" vertical="center"/>
    </xf>
    <xf numFmtId="181" fontId="0" fillId="3" borderId="95" xfId="1" applyNumberFormat="1" applyFont="1" applyFill="1" applyBorder="1" applyAlignment="1">
      <alignment horizontal="right" vertical="center"/>
    </xf>
    <xf numFmtId="177" fontId="0" fillId="0" borderId="7" xfId="0" applyNumberFormat="1" applyFill="1" applyBorder="1" applyAlignment="1">
      <alignment vertical="center" shrinkToFit="1"/>
    </xf>
    <xf numFmtId="181" fontId="0" fillId="0" borderId="128" xfId="0" applyNumberFormat="1" applyFont="1" applyBorder="1" applyAlignment="1">
      <alignment horizontal="right" vertical="center"/>
    </xf>
    <xf numFmtId="0" fontId="0" fillId="0" borderId="0" xfId="2" applyFont="1" applyAlignment="1">
      <alignment vertical="center"/>
    </xf>
    <xf numFmtId="0" fontId="1" fillId="0" borderId="0" xfId="2" applyFont="1" applyAlignment="1">
      <alignment horizontal="right" vertical="center"/>
    </xf>
    <xf numFmtId="177" fontId="0" fillId="0" borderId="1" xfId="0" applyNumberFormat="1" applyFill="1" applyBorder="1" applyAlignment="1">
      <alignment horizontal="center" vertical="center" shrinkToFit="1"/>
    </xf>
    <xf numFmtId="177" fontId="0" fillId="0" borderId="12" xfId="0" applyNumberFormat="1" applyFill="1" applyBorder="1" applyAlignment="1">
      <alignment horizontal="center" vertical="center"/>
    </xf>
    <xf numFmtId="177" fontId="0" fillId="0" borderId="12" xfId="0" applyNumberFormat="1" applyFill="1" applyBorder="1" applyAlignment="1">
      <alignment horizontal="center" vertical="center" shrinkToFit="1"/>
    </xf>
    <xf numFmtId="177" fontId="0" fillId="0" borderId="163" xfId="0" applyNumberFormat="1" applyFont="1" applyBorder="1" applyAlignment="1">
      <alignment vertical="center" shrinkToFit="1"/>
    </xf>
    <xf numFmtId="176" fontId="0" fillId="0" borderId="141" xfId="0" applyNumberFormat="1" applyFont="1" applyBorder="1" applyAlignment="1">
      <alignment vertical="center" shrinkToFit="1"/>
    </xf>
    <xf numFmtId="176" fontId="0" fillId="0" borderId="141" xfId="0" applyNumberFormat="1" applyFont="1" applyBorder="1" applyAlignment="1">
      <alignment horizontal="center" vertical="center" shrinkToFit="1"/>
    </xf>
    <xf numFmtId="176" fontId="4" fillId="0" borderId="175" xfId="0" applyNumberFormat="1" applyFont="1" applyBorder="1" applyAlignment="1">
      <alignment horizontal="left" vertical="center" wrapText="1"/>
    </xf>
    <xf numFmtId="176" fontId="0" fillId="0" borderId="176" xfId="0" applyNumberFormat="1" applyFont="1" applyBorder="1" applyAlignment="1">
      <alignment horizontal="center" vertical="center" shrinkToFit="1"/>
    </xf>
    <xf numFmtId="176" fontId="0" fillId="0" borderId="177" xfId="0" applyNumberFormat="1" applyFont="1" applyBorder="1" applyAlignment="1">
      <alignment horizontal="center" vertical="center" shrinkToFit="1"/>
    </xf>
    <xf numFmtId="176" fontId="0" fillId="0" borderId="7" xfId="0" applyNumberFormat="1" applyFont="1" applyBorder="1" applyAlignment="1">
      <alignment horizontal="center" vertical="center" shrinkToFit="1"/>
    </xf>
    <xf numFmtId="176" fontId="0" fillId="0" borderId="88" xfId="0" applyNumberFormat="1" applyFont="1" applyBorder="1" applyAlignment="1">
      <alignment vertical="center" shrinkToFit="1"/>
    </xf>
    <xf numFmtId="176" fontId="0" fillId="0" borderId="72" xfId="0" applyNumberFormat="1" applyFont="1" applyBorder="1" applyAlignment="1">
      <alignment horizontal="center" vertical="center" shrinkToFit="1"/>
    </xf>
    <xf numFmtId="176" fontId="0" fillId="0" borderId="19" xfId="0" applyNumberFormat="1" applyFont="1" applyBorder="1" applyAlignment="1">
      <alignment vertical="center" shrinkToFit="1"/>
    </xf>
    <xf numFmtId="176" fontId="0" fillId="0" borderId="73" xfId="0" applyNumberFormat="1" applyFont="1" applyBorder="1" applyAlignment="1">
      <alignment vertical="center" shrinkToFit="1"/>
    </xf>
    <xf numFmtId="176" fontId="0" fillId="0" borderId="178" xfId="0" applyNumberFormat="1" applyFont="1" applyBorder="1" applyAlignment="1">
      <alignment horizontal="center" vertical="center" shrinkToFit="1"/>
    </xf>
    <xf numFmtId="176" fontId="0" fillId="0" borderId="73" xfId="0" applyNumberFormat="1" applyFont="1" applyFill="1" applyBorder="1" applyAlignment="1">
      <alignment vertical="center" shrinkToFit="1"/>
    </xf>
    <xf numFmtId="177" fontId="0" fillId="0" borderId="88" xfId="0" applyNumberFormat="1" applyFont="1" applyBorder="1" applyAlignment="1">
      <alignment horizontal="center" vertical="center" shrinkToFit="1"/>
    </xf>
    <xf numFmtId="177" fontId="0" fillId="0" borderId="88" xfId="0" applyNumberFormat="1" applyFont="1" applyFill="1" applyBorder="1" applyAlignment="1">
      <alignment vertical="center" shrinkToFit="1"/>
    </xf>
    <xf numFmtId="177" fontId="0" fillId="0" borderId="38" xfId="3" applyNumberFormat="1" applyFont="1" applyBorder="1" applyAlignment="1">
      <alignment horizontal="center" vertical="center" shrinkToFit="1"/>
    </xf>
    <xf numFmtId="177" fontId="0" fillId="2" borderId="164" xfId="0" applyNumberFormat="1" applyFont="1" applyFill="1" applyBorder="1" applyAlignment="1">
      <alignment horizontal="center" vertical="center" shrinkToFit="1"/>
    </xf>
    <xf numFmtId="176" fontId="0" fillId="0" borderId="24" xfId="0" applyNumberFormat="1" applyFont="1" applyBorder="1" applyAlignment="1">
      <alignment vertical="center"/>
    </xf>
    <xf numFmtId="176" fontId="0" fillId="0" borderId="156" xfId="0" applyNumberFormat="1" applyFont="1" applyBorder="1" applyAlignment="1">
      <alignment vertical="center"/>
    </xf>
    <xf numFmtId="179" fontId="0" fillId="0" borderId="141" xfId="0" applyNumberFormat="1" applyFont="1" applyBorder="1" applyAlignment="1">
      <alignment vertical="center" shrinkToFit="1"/>
    </xf>
    <xf numFmtId="183" fontId="0" fillId="0" borderId="141" xfId="0" applyNumberFormat="1" applyFont="1" applyBorder="1" applyAlignment="1">
      <alignment vertical="center" shrinkToFit="1"/>
    </xf>
    <xf numFmtId="179" fontId="0" fillId="0" borderId="182" xfId="0" applyNumberFormat="1" applyFont="1" applyBorder="1" applyAlignment="1">
      <alignment horizontal="center" vertical="center" shrinkToFit="1"/>
    </xf>
    <xf numFmtId="176" fontId="0" fillId="0" borderId="185" xfId="0" applyNumberFormat="1" applyFont="1" applyBorder="1" applyAlignment="1">
      <alignment vertical="center" shrinkToFit="1"/>
    </xf>
    <xf numFmtId="176" fontId="0" fillId="0" borderId="186" xfId="0" applyNumberFormat="1" applyFont="1" applyBorder="1" applyAlignment="1">
      <alignment horizontal="center" vertical="center" shrinkToFit="1"/>
    </xf>
    <xf numFmtId="179" fontId="0" fillId="0" borderId="187" xfId="0" applyNumberFormat="1" applyFont="1" applyBorder="1" applyAlignment="1">
      <alignment horizontal="center" vertical="center" shrinkToFit="1"/>
    </xf>
    <xf numFmtId="177" fontId="0" fillId="0" borderId="185" xfId="0" applyNumberFormat="1" applyFont="1" applyBorder="1" applyAlignment="1">
      <alignment horizontal="center" vertical="center" shrinkToFit="1"/>
    </xf>
    <xf numFmtId="177" fontId="0" fillId="0" borderId="186" xfId="0" applyNumberFormat="1" applyFont="1" applyBorder="1" applyAlignment="1">
      <alignment horizontal="center" vertical="center" shrinkToFit="1"/>
    </xf>
    <xf numFmtId="177" fontId="0" fillId="0" borderId="177" xfId="0" applyNumberFormat="1" applyFont="1" applyBorder="1" applyAlignment="1">
      <alignment horizontal="center" vertical="center" shrinkToFit="1"/>
    </xf>
    <xf numFmtId="177" fontId="0" fillId="2" borderId="164" xfId="0" applyNumberFormat="1" applyFont="1" applyFill="1" applyBorder="1" applyAlignment="1">
      <alignment vertical="center" shrinkToFit="1"/>
    </xf>
    <xf numFmtId="177" fontId="0" fillId="2" borderId="166" xfId="0" applyNumberFormat="1" applyFont="1" applyFill="1" applyBorder="1" applyAlignment="1">
      <alignment vertical="center" shrinkToFit="1"/>
    </xf>
    <xf numFmtId="177" fontId="0" fillId="0" borderId="176" xfId="0" applyNumberFormat="1" applyBorder="1" applyAlignment="1">
      <alignment horizontal="center" vertical="center" shrinkToFit="1"/>
    </xf>
    <xf numFmtId="177" fontId="0" fillId="0" borderId="88" xfId="0" applyNumberFormat="1" applyBorder="1" applyAlignment="1">
      <alignment horizontal="center" vertical="center" shrinkToFit="1"/>
    </xf>
    <xf numFmtId="183" fontId="0" fillId="6" borderId="165" xfId="0" applyNumberFormat="1" applyFont="1" applyFill="1" applyBorder="1" applyAlignment="1">
      <alignment vertical="center" shrinkToFit="1"/>
    </xf>
    <xf numFmtId="176" fontId="0" fillId="6" borderId="166" xfId="0" applyNumberFormat="1" applyFont="1" applyFill="1" applyBorder="1" applyAlignment="1">
      <alignment vertical="center" shrinkToFit="1"/>
    </xf>
    <xf numFmtId="177" fontId="0" fillId="0" borderId="0" xfId="3" applyNumberFormat="1" applyFont="1" applyFill="1" applyBorder="1" applyAlignment="1">
      <alignment vertical="center"/>
    </xf>
    <xf numFmtId="177" fontId="0" fillId="0" borderId="179" xfId="3" applyNumberFormat="1" applyFont="1" applyBorder="1" applyAlignment="1">
      <alignment horizontal="center" vertical="center" shrinkToFit="1"/>
    </xf>
    <xf numFmtId="177" fontId="0" fillId="0" borderId="179" xfId="0" applyNumberFormat="1" applyBorder="1" applyAlignment="1">
      <alignment horizontal="center" vertical="center" shrinkToFit="1"/>
    </xf>
    <xf numFmtId="177" fontId="0" fillId="0" borderId="180" xfId="0" applyNumberFormat="1" applyFont="1" applyBorder="1" applyAlignment="1">
      <alignment horizontal="center" vertical="center" shrinkToFit="1"/>
    </xf>
    <xf numFmtId="177" fontId="0" fillId="0" borderId="38" xfId="0" applyNumberFormat="1" applyBorder="1" applyAlignment="1">
      <alignment horizontal="center" vertical="center" shrinkToFit="1"/>
    </xf>
    <xf numFmtId="182" fontId="0" fillId="0" borderId="24" xfId="3" applyNumberFormat="1" applyFont="1" applyFill="1" applyBorder="1" applyAlignment="1">
      <alignment vertical="center" shrinkToFit="1"/>
    </xf>
    <xf numFmtId="184" fontId="0" fillId="0" borderId="141" xfId="0" applyNumberFormat="1" applyFont="1" applyBorder="1" applyAlignment="1">
      <alignment vertical="center" shrinkToFit="1"/>
    </xf>
    <xf numFmtId="176" fontId="0" fillId="0" borderId="183" xfId="0" applyNumberFormat="1" applyFont="1" applyBorder="1" applyAlignment="1">
      <alignment vertical="center"/>
    </xf>
    <xf numFmtId="176" fontId="0" fillId="2" borderId="162" xfId="0" applyNumberFormat="1" applyFont="1" applyFill="1" applyBorder="1" applyAlignment="1">
      <alignment horizontal="center" vertical="center" shrinkToFit="1"/>
    </xf>
    <xf numFmtId="177" fontId="0" fillId="2" borderId="162" xfId="0" applyNumberFormat="1" applyFont="1" applyFill="1" applyBorder="1" applyAlignment="1">
      <alignment vertical="center" shrinkToFit="1"/>
    </xf>
    <xf numFmtId="176" fontId="0" fillId="2" borderId="167" xfId="0" applyNumberFormat="1" applyFont="1" applyFill="1" applyBorder="1" applyAlignment="1">
      <alignment vertical="center" shrinkToFit="1"/>
    </xf>
    <xf numFmtId="177" fontId="0" fillId="0" borderId="141" xfId="0" applyNumberFormat="1" applyFont="1" applyFill="1" applyBorder="1" applyAlignment="1">
      <alignment vertical="center" shrinkToFit="1"/>
    </xf>
    <xf numFmtId="177" fontId="0" fillId="0" borderId="141" xfId="0" applyNumberFormat="1" applyFont="1" applyBorder="1" applyAlignment="1">
      <alignment vertical="center" shrinkToFit="1"/>
    </xf>
    <xf numFmtId="177" fontId="0" fillId="0" borderId="141" xfId="3" applyNumberFormat="1" applyFont="1" applyBorder="1" applyAlignment="1">
      <alignment vertical="center" shrinkToFit="1"/>
    </xf>
    <xf numFmtId="177" fontId="0" fillId="0" borderId="141" xfId="3" applyNumberFormat="1" applyFont="1" applyFill="1" applyBorder="1" applyAlignment="1">
      <alignment vertical="center" shrinkToFit="1"/>
    </xf>
    <xf numFmtId="177" fontId="0" fillId="0" borderId="34" xfId="0" applyNumberFormat="1" applyFont="1" applyBorder="1" applyAlignment="1">
      <alignment vertical="center"/>
    </xf>
    <xf numFmtId="177" fontId="0" fillId="0" borderId="24" xfId="0" applyNumberFormat="1" applyFont="1" applyFill="1" applyBorder="1" applyAlignment="1">
      <alignment vertical="center" shrinkToFit="1"/>
    </xf>
    <xf numFmtId="177" fontId="0" fillId="0" borderId="24" xfId="0" applyNumberFormat="1" applyFont="1" applyBorder="1" applyAlignment="1">
      <alignment vertical="center"/>
    </xf>
    <xf numFmtId="177" fontId="0" fillId="0" borderId="190" xfId="0" applyNumberFormat="1" applyFont="1" applyBorder="1" applyAlignment="1">
      <alignment vertical="center" shrinkToFit="1"/>
    </xf>
    <xf numFmtId="177" fontId="0" fillId="0" borderId="11" xfId="0" applyNumberFormat="1" applyFont="1" applyBorder="1" applyAlignment="1">
      <alignment vertical="center" shrinkToFit="1"/>
    </xf>
    <xf numFmtId="177" fontId="0" fillId="0" borderId="11" xfId="0" applyNumberFormat="1" applyFont="1" applyFill="1" applyBorder="1" applyAlignment="1">
      <alignment vertical="center" shrinkToFit="1"/>
    </xf>
    <xf numFmtId="177" fontId="0" fillId="0" borderId="191" xfId="0" applyNumberFormat="1" applyFont="1" applyFill="1" applyBorder="1" applyAlignment="1">
      <alignment vertical="center" shrinkToFit="1"/>
    </xf>
    <xf numFmtId="177" fontId="0" fillId="2" borderId="17" xfId="0" applyNumberFormat="1" applyFont="1" applyFill="1" applyBorder="1" applyAlignment="1">
      <alignment horizontal="center" vertical="center" shrinkToFit="1"/>
    </xf>
    <xf numFmtId="9" fontId="0" fillId="0" borderId="88" xfId="0" applyNumberFormat="1" applyFont="1" applyBorder="1" applyAlignment="1">
      <alignment vertical="center" shrinkToFit="1"/>
    </xf>
    <xf numFmtId="182" fontId="0" fillId="0" borderId="88" xfId="4" applyNumberFormat="1" applyFont="1" applyBorder="1" applyAlignment="1">
      <alignment vertical="center" shrinkToFit="1"/>
    </xf>
    <xf numFmtId="9" fontId="0" fillId="0" borderId="88" xfId="4" applyFont="1" applyBorder="1" applyAlignment="1">
      <alignment vertical="center" shrinkToFit="1"/>
    </xf>
    <xf numFmtId="176" fontId="0" fillId="0" borderId="141" xfId="0" applyNumberFormat="1" applyFont="1" applyBorder="1" applyAlignment="1">
      <alignment horizontal="center" vertical="center"/>
    </xf>
    <xf numFmtId="176" fontId="0" fillId="0" borderId="145" xfId="0" applyNumberFormat="1" applyFont="1" applyBorder="1" applyAlignment="1">
      <alignment horizontal="center" vertical="center"/>
    </xf>
    <xf numFmtId="176" fontId="0" fillId="0" borderId="199" xfId="0" applyNumberFormat="1" applyFont="1" applyBorder="1" applyAlignment="1">
      <alignment vertical="center"/>
    </xf>
    <xf numFmtId="176" fontId="0" fillId="0" borderId="141" xfId="0" applyNumberFormat="1" applyFont="1" applyBorder="1" applyAlignment="1">
      <alignment vertical="center"/>
    </xf>
    <xf numFmtId="176" fontId="0" fillId="0" borderId="145" xfId="0" applyNumberFormat="1" applyFont="1" applyBorder="1" applyAlignment="1">
      <alignment vertical="center"/>
    </xf>
    <xf numFmtId="176" fontId="0" fillId="0" borderId="201" xfId="0" applyNumberFormat="1" applyFont="1" applyBorder="1" applyAlignment="1">
      <alignment vertical="center"/>
    </xf>
    <xf numFmtId="179" fontId="0" fillId="0" borderId="184" xfId="0" applyNumberFormat="1" applyFont="1" applyBorder="1" applyAlignment="1">
      <alignment vertical="center" shrinkToFit="1"/>
    </xf>
    <xf numFmtId="176" fontId="0" fillId="0" borderId="200" xfId="0" applyNumberFormat="1" applyFont="1" applyBorder="1" applyAlignment="1">
      <alignment vertical="center"/>
    </xf>
    <xf numFmtId="176" fontId="0" fillId="0" borderId="202" xfId="0" applyNumberFormat="1" applyFont="1" applyBorder="1" applyAlignment="1">
      <alignment horizontal="left" vertical="center" indent="1"/>
    </xf>
    <xf numFmtId="176" fontId="0" fillId="0" borderId="36" xfId="0" applyNumberFormat="1" applyFont="1" applyBorder="1" applyAlignment="1">
      <alignment vertical="center"/>
    </xf>
    <xf numFmtId="176" fontId="0" fillId="0" borderId="197" xfId="0" applyNumberFormat="1" applyFont="1" applyBorder="1" applyAlignment="1">
      <alignment vertical="center"/>
    </xf>
    <xf numFmtId="176" fontId="0" fillId="0" borderId="198" xfId="0" applyNumberFormat="1" applyFont="1" applyBorder="1" applyAlignment="1">
      <alignment vertical="center"/>
    </xf>
    <xf numFmtId="176" fontId="0" fillId="0" borderId="202" xfId="0" applyNumberFormat="1" applyFont="1" applyBorder="1" applyAlignment="1">
      <alignment vertical="center"/>
    </xf>
    <xf numFmtId="0" fontId="0" fillId="0" borderId="88" xfId="2" applyFont="1" applyBorder="1" applyAlignment="1">
      <alignment horizontal="center" vertical="center" wrapText="1"/>
    </xf>
    <xf numFmtId="0" fontId="0" fillId="0" borderId="88" xfId="2" applyFont="1" applyBorder="1" applyAlignment="1">
      <alignment vertical="center" wrapText="1"/>
    </xf>
    <xf numFmtId="0" fontId="0" fillId="0" borderId="28" xfId="2" applyFont="1" applyBorder="1" applyAlignment="1">
      <alignment horizontal="center" vertical="center" wrapText="1"/>
    </xf>
    <xf numFmtId="0" fontId="1" fillId="0" borderId="163" xfId="2" applyFont="1" applyBorder="1" applyAlignment="1">
      <alignment horizontal="center" vertical="center" wrapText="1"/>
    </xf>
    <xf numFmtId="0" fontId="1" fillId="0" borderId="170" xfId="2" applyFont="1" applyBorder="1" applyAlignment="1">
      <alignment horizontal="center" vertical="center" wrapText="1"/>
    </xf>
    <xf numFmtId="0" fontId="1" fillId="0" borderId="171" xfId="2" applyFont="1" applyBorder="1" applyAlignment="1">
      <alignment horizontal="center" vertical="center" wrapText="1"/>
    </xf>
    <xf numFmtId="177" fontId="0" fillId="0" borderId="88" xfId="0" applyNumberFormat="1" applyFont="1" applyBorder="1" applyAlignment="1">
      <alignment horizontal="center" vertical="center" shrinkToFit="1"/>
    </xf>
    <xf numFmtId="178" fontId="0" fillId="0" borderId="88" xfId="0" applyNumberFormat="1" applyFont="1" applyBorder="1" applyAlignment="1">
      <alignment vertical="center" shrinkToFit="1"/>
    </xf>
    <xf numFmtId="176" fontId="0" fillId="0" borderId="206" xfId="0" applyNumberFormat="1" applyFont="1" applyBorder="1" applyAlignment="1">
      <alignment vertical="center"/>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0" fillId="0" borderId="24" xfId="0" applyFont="1" applyFill="1" applyBorder="1" applyAlignment="1">
      <alignment vertical="center"/>
    </xf>
    <xf numFmtId="177" fontId="0" fillId="0" borderId="88" xfId="0" applyNumberFormat="1" applyFont="1" applyFill="1" applyBorder="1" applyAlignment="1">
      <alignmen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2" xfId="0" applyNumberFormat="1" applyFont="1" applyFill="1" applyBorder="1" applyAlignment="1">
      <alignment horizontal="center" vertical="center"/>
    </xf>
    <xf numFmtId="177" fontId="0" fillId="0" borderId="163" xfId="0" applyNumberFormat="1" applyFont="1" applyFill="1" applyBorder="1" applyAlignment="1">
      <alignment vertical="center" shrinkToFit="1"/>
    </xf>
    <xf numFmtId="177" fontId="0" fillId="0" borderId="171" xfId="0" applyNumberFormat="1" applyFont="1" applyFill="1" applyBorder="1" applyAlignment="1">
      <alignment vertical="center" shrinkToFit="1"/>
    </xf>
    <xf numFmtId="177" fontId="0" fillId="0" borderId="88" xfId="0" applyNumberFormat="1" applyFont="1" applyFill="1" applyBorder="1" applyAlignment="1">
      <alignment vertical="center"/>
    </xf>
    <xf numFmtId="177" fontId="0" fillId="0" borderId="176" xfId="0" applyNumberFormat="1" applyFont="1" applyBorder="1" applyAlignment="1">
      <alignment horizontal="center" vertical="center" shrinkToFit="1"/>
    </xf>
    <xf numFmtId="176" fontId="0" fillId="0" borderId="203" xfId="0" applyNumberFormat="1" applyFont="1" applyBorder="1" applyAlignment="1">
      <alignment vertical="center" shrinkToFit="1"/>
    </xf>
    <xf numFmtId="176" fontId="0" fillId="0" borderId="204" xfId="0" applyNumberFormat="1" applyFont="1" applyBorder="1" applyAlignment="1">
      <alignment horizontal="center" vertical="center" shrinkToFit="1"/>
    </xf>
    <xf numFmtId="176" fontId="0" fillId="0" borderId="204" xfId="0" applyNumberFormat="1" applyFont="1" applyFill="1" applyBorder="1" applyAlignment="1">
      <alignment horizontal="center" vertical="center" shrinkToFit="1"/>
    </xf>
    <xf numFmtId="176" fontId="0" fillId="0" borderId="205" xfId="0" applyNumberFormat="1" applyFont="1" applyBorder="1" applyAlignment="1">
      <alignment horizontal="center" vertical="center" shrinkToFit="1"/>
    </xf>
    <xf numFmtId="179" fontId="0" fillId="0" borderId="179" xfId="0" applyNumberFormat="1" applyFont="1" applyBorder="1" applyAlignment="1">
      <alignment horizontal="center" vertical="center" shrinkToFit="1"/>
    </xf>
    <xf numFmtId="177" fontId="0" fillId="0" borderId="203" xfId="0" applyNumberFormat="1" applyFont="1" applyBorder="1" applyAlignment="1">
      <alignment horizontal="center" vertical="center" shrinkToFit="1"/>
    </xf>
    <xf numFmtId="177" fontId="0" fillId="0" borderId="204" xfId="0" applyNumberFormat="1" applyFont="1" applyBorder="1" applyAlignment="1">
      <alignment horizontal="center" vertical="center" shrinkToFit="1"/>
    </xf>
    <xf numFmtId="177" fontId="0" fillId="0" borderId="205" xfId="0" applyNumberFormat="1" applyFont="1" applyBorder="1" applyAlignment="1">
      <alignment horizontal="center" vertical="center" shrinkToFit="1"/>
    </xf>
    <xf numFmtId="176" fontId="0" fillId="0" borderId="134" xfId="0" applyNumberFormat="1" applyFont="1" applyBorder="1" applyAlignment="1">
      <alignment vertical="center" shrinkToFit="1"/>
    </xf>
    <xf numFmtId="183" fontId="0" fillId="0" borderId="134" xfId="0" applyNumberFormat="1" applyFont="1" applyFill="1" applyBorder="1" applyAlignment="1">
      <alignment vertical="center" shrinkToFit="1"/>
    </xf>
    <xf numFmtId="183" fontId="0" fillId="0" borderId="134" xfId="0" applyNumberFormat="1" applyFont="1" applyBorder="1" applyAlignment="1">
      <alignment vertical="center" shrinkToFit="1"/>
    </xf>
    <xf numFmtId="176" fontId="0" fillId="0" borderId="210" xfId="0" applyNumberFormat="1" applyFont="1" applyBorder="1" applyAlignment="1">
      <alignment vertical="center" shrinkToFit="1"/>
    </xf>
    <xf numFmtId="176" fontId="0" fillId="0" borderId="211" xfId="0" applyNumberFormat="1" applyFont="1" applyBorder="1" applyAlignment="1">
      <alignment vertical="center" shrinkToFit="1"/>
    </xf>
    <xf numFmtId="183" fontId="0" fillId="0" borderId="211" xfId="0" applyNumberFormat="1" applyFont="1" applyBorder="1" applyAlignment="1">
      <alignment vertical="center" shrinkToFit="1"/>
    </xf>
    <xf numFmtId="176" fontId="0" fillId="0" borderId="212" xfId="0" applyNumberFormat="1" applyFont="1" applyBorder="1" applyAlignment="1">
      <alignment vertical="center" shrinkToFit="1"/>
    </xf>
    <xf numFmtId="176" fontId="0" fillId="6" borderId="11" xfId="0" applyNumberFormat="1" applyFont="1" applyFill="1" applyBorder="1" applyAlignment="1">
      <alignment horizontal="center" vertical="center" shrinkToFit="1"/>
    </xf>
    <xf numFmtId="183" fontId="0" fillId="6" borderId="11" xfId="0" applyNumberFormat="1" applyFont="1" applyFill="1" applyBorder="1" applyAlignment="1">
      <alignment vertical="center" shrinkToFit="1"/>
    </xf>
    <xf numFmtId="176" fontId="0" fillId="6" borderId="214" xfId="0" applyNumberFormat="1" applyFont="1" applyFill="1" applyBorder="1" applyAlignment="1">
      <alignment vertical="center" shrinkToFit="1"/>
    </xf>
    <xf numFmtId="176" fontId="0" fillId="6" borderId="218" xfId="0" applyNumberFormat="1" applyFont="1" applyFill="1" applyBorder="1" applyAlignment="1">
      <alignment vertical="center" shrinkToFit="1"/>
    </xf>
    <xf numFmtId="3" fontId="5" fillId="0" borderId="219" xfId="0" applyNumberFormat="1" applyFont="1" applyFill="1" applyBorder="1" applyAlignment="1"/>
    <xf numFmtId="176" fontId="0" fillId="6" borderId="221" xfId="0" applyNumberFormat="1" applyFont="1" applyFill="1" applyBorder="1" applyAlignment="1">
      <alignment horizontal="center" vertical="center" shrinkToFit="1"/>
    </xf>
    <xf numFmtId="183" fontId="0" fillId="6" borderId="221" xfId="0" applyNumberFormat="1" applyFont="1" applyFill="1" applyBorder="1" applyAlignment="1">
      <alignment vertical="center" shrinkToFit="1"/>
    </xf>
    <xf numFmtId="183" fontId="0" fillId="6" borderId="222" xfId="0" applyNumberFormat="1" applyFont="1" applyFill="1" applyBorder="1" applyAlignment="1">
      <alignment vertical="center" shrinkToFit="1"/>
    </xf>
    <xf numFmtId="183" fontId="0" fillId="6" borderId="223" xfId="0" applyNumberFormat="1" applyFont="1" applyFill="1" applyBorder="1" applyAlignment="1">
      <alignment vertical="center" shrinkToFit="1"/>
    </xf>
    <xf numFmtId="176" fontId="0" fillId="6" borderId="224" xfId="0" applyNumberFormat="1" applyFont="1" applyFill="1" applyBorder="1" applyAlignment="1">
      <alignment vertical="center" shrinkToFit="1"/>
    </xf>
    <xf numFmtId="176" fontId="0" fillId="0" borderId="226" xfId="0" applyNumberFormat="1" applyFont="1" applyBorder="1" applyAlignment="1">
      <alignment vertical="center" shrinkToFit="1"/>
    </xf>
    <xf numFmtId="176" fontId="0" fillId="0" borderId="226" xfId="0" applyNumberFormat="1" applyFont="1" applyBorder="1" applyAlignment="1">
      <alignment horizontal="center" vertical="center" shrinkToFit="1"/>
    </xf>
    <xf numFmtId="176" fontId="0" fillId="0" borderId="227" xfId="0" applyNumberFormat="1" applyFont="1" applyBorder="1" applyAlignment="1">
      <alignment vertical="center" shrinkToFit="1"/>
    </xf>
    <xf numFmtId="177" fontId="0" fillId="0" borderId="179" xfId="0" applyNumberFormat="1" applyFont="1" applyBorder="1" applyAlignment="1">
      <alignment horizontal="center" vertical="center" shrinkToFit="1"/>
    </xf>
    <xf numFmtId="176" fontId="0" fillId="0" borderId="231" xfId="0" applyNumberFormat="1" applyFont="1" applyBorder="1" applyAlignment="1">
      <alignment vertical="center"/>
    </xf>
    <xf numFmtId="184" fontId="0" fillId="0" borderId="226" xfId="0" applyNumberFormat="1" applyFont="1" applyBorder="1" applyAlignment="1">
      <alignment vertical="center" shrinkToFit="1"/>
    </xf>
    <xf numFmtId="176" fontId="0" fillId="0" borderId="232" xfId="0" applyNumberFormat="1" applyFont="1" applyBorder="1" applyAlignment="1">
      <alignment vertical="center"/>
    </xf>
    <xf numFmtId="176" fontId="0" fillId="0" borderId="233" xfId="0" applyNumberFormat="1" applyFont="1" applyBorder="1" applyAlignment="1">
      <alignment vertical="center" shrinkToFit="1"/>
    </xf>
    <xf numFmtId="176" fontId="0" fillId="0" borderId="233" xfId="0" applyNumberFormat="1" applyFont="1" applyBorder="1" applyAlignment="1">
      <alignment horizontal="center" vertical="center" shrinkToFit="1"/>
    </xf>
    <xf numFmtId="176" fontId="0" fillId="0" borderId="234" xfId="0" applyNumberFormat="1" applyFont="1" applyBorder="1" applyAlignment="1">
      <alignment vertical="center" shrinkToFit="1"/>
    </xf>
    <xf numFmtId="176" fontId="0" fillId="0" borderId="233" xfId="0" applyNumberFormat="1" applyFont="1" applyFill="1" applyBorder="1" applyAlignment="1">
      <alignment vertical="center" shrinkToFit="1"/>
    </xf>
    <xf numFmtId="179" fontId="0" fillId="0" borderId="231" xfId="0" applyNumberFormat="1" applyFont="1" applyBorder="1" applyAlignment="1">
      <alignment horizontal="center" vertical="center" shrinkToFit="1"/>
    </xf>
    <xf numFmtId="183" fontId="0" fillId="0" borderId="233" xfId="0" applyNumberFormat="1" applyFont="1" applyBorder="1" applyAlignment="1">
      <alignment vertical="center" shrinkToFit="1"/>
    </xf>
    <xf numFmtId="176" fontId="0" fillId="0" borderId="238" xfId="0" applyNumberFormat="1" applyFont="1" applyBorder="1" applyAlignment="1">
      <alignment vertical="center" shrinkToFit="1"/>
    </xf>
    <xf numFmtId="183" fontId="0" fillId="0" borderId="233" xfId="0" applyNumberFormat="1" applyFont="1" applyFill="1" applyBorder="1" applyAlignment="1">
      <alignment vertical="center" shrinkToFit="1"/>
    </xf>
    <xf numFmtId="176" fontId="0" fillId="0" borderId="239" xfId="0" applyNumberFormat="1" applyFont="1" applyBorder="1" applyAlignment="1">
      <alignment vertical="center"/>
    </xf>
    <xf numFmtId="176" fontId="0" fillId="0" borderId="34" xfId="0" applyNumberFormat="1" applyFont="1" applyBorder="1" applyAlignment="1">
      <alignment vertical="center"/>
    </xf>
    <xf numFmtId="176" fontId="0" fillId="0" borderId="41" xfId="0" applyNumberFormat="1" applyFont="1" applyBorder="1" applyAlignment="1">
      <alignment vertical="center"/>
    </xf>
    <xf numFmtId="176" fontId="0" fillId="0" borderId="242" xfId="0" applyNumberFormat="1" applyFont="1" applyBorder="1" applyAlignment="1">
      <alignment vertical="center"/>
    </xf>
    <xf numFmtId="176" fontId="0" fillId="0" borderId="243" xfId="0" applyNumberFormat="1" applyFont="1" applyBorder="1" applyAlignment="1">
      <alignment vertical="center" shrinkToFit="1"/>
    </xf>
    <xf numFmtId="176" fontId="0" fillId="0" borderId="243" xfId="0" applyNumberFormat="1" applyFont="1" applyBorder="1" applyAlignment="1">
      <alignment horizontal="center" vertical="center" shrinkToFit="1"/>
    </xf>
    <xf numFmtId="176" fontId="0" fillId="0" borderId="244" xfId="0" applyNumberFormat="1" applyFont="1" applyBorder="1" applyAlignment="1">
      <alignment vertical="center" shrinkToFit="1"/>
    </xf>
    <xf numFmtId="176" fontId="0" fillId="0" borderId="243" xfId="0" applyNumberFormat="1" applyFont="1" applyFill="1" applyBorder="1" applyAlignment="1">
      <alignment vertical="center" shrinkToFit="1"/>
    </xf>
    <xf numFmtId="183" fontId="0" fillId="0" borderId="243" xfId="0" applyNumberFormat="1" applyFont="1" applyBorder="1" applyAlignment="1">
      <alignment vertical="center" shrinkToFit="1"/>
    </xf>
    <xf numFmtId="176" fontId="0" fillId="0" borderId="247" xfId="0" applyNumberFormat="1" applyFont="1" applyBorder="1" applyAlignment="1">
      <alignment vertical="center" shrinkToFit="1"/>
    </xf>
    <xf numFmtId="183" fontId="0" fillId="0" borderId="243" xfId="0" applyNumberFormat="1" applyFont="1" applyFill="1" applyBorder="1" applyAlignment="1">
      <alignment vertical="center" shrinkToFit="1"/>
    </xf>
    <xf numFmtId="176" fontId="0" fillId="0" borderId="248" xfId="0" applyNumberFormat="1" applyFont="1" applyBorder="1" applyAlignment="1">
      <alignment vertical="center"/>
    </xf>
    <xf numFmtId="177" fontId="0" fillId="0" borderId="176" xfId="0" applyNumberFormat="1" applyFont="1" applyBorder="1" applyAlignment="1">
      <alignment vertical="center"/>
    </xf>
    <xf numFmtId="177" fontId="0" fillId="0" borderId="252" xfId="0" applyNumberFormat="1" applyFont="1" applyBorder="1" applyAlignment="1">
      <alignment horizontal="center" vertical="center"/>
    </xf>
    <xf numFmtId="177" fontId="0" fillId="0" borderId="252" xfId="0" applyNumberFormat="1" applyFont="1" applyBorder="1" applyAlignment="1">
      <alignment vertical="center"/>
    </xf>
    <xf numFmtId="177" fontId="0" fillId="0" borderId="243" xfId="0" applyNumberFormat="1" applyFont="1" applyFill="1" applyBorder="1" applyAlignment="1">
      <alignment vertical="center" shrinkToFit="1"/>
    </xf>
    <xf numFmtId="177" fontId="0" fillId="0" borderId="170" xfId="0" applyNumberFormat="1" applyFont="1" applyFill="1" applyBorder="1" applyAlignment="1">
      <alignment vertical="center"/>
    </xf>
    <xf numFmtId="177" fontId="0" fillId="0" borderId="254" xfId="0" applyNumberFormat="1" applyFont="1" applyFill="1" applyBorder="1" applyAlignment="1">
      <alignment horizontal="center" vertical="center" shrinkToFit="1"/>
    </xf>
    <xf numFmtId="177" fontId="0" fillId="0" borderId="243" xfId="0" applyNumberFormat="1" applyFill="1" applyBorder="1" applyAlignment="1">
      <alignment horizontal="center" vertical="center" shrinkToFit="1"/>
    </xf>
    <xf numFmtId="177" fontId="0" fillId="0" borderId="243" xfId="0" applyNumberFormat="1" applyFont="1" applyFill="1" applyBorder="1" applyAlignment="1">
      <alignment horizontal="center" vertical="center" shrinkToFit="1"/>
    </xf>
    <xf numFmtId="177" fontId="0" fillId="0" borderId="243" xfId="0" applyNumberFormat="1" applyFill="1" applyBorder="1" applyAlignment="1">
      <alignment vertical="center"/>
    </xf>
    <xf numFmtId="177" fontId="0" fillId="0" borderId="256" xfId="0" applyNumberFormat="1" applyFont="1" applyFill="1" applyBorder="1" applyAlignment="1">
      <alignment vertical="center"/>
    </xf>
    <xf numFmtId="177" fontId="0" fillId="0" borderId="254" xfId="0" applyNumberFormat="1" applyFont="1" applyFill="1" applyBorder="1" applyAlignment="1">
      <alignment vertical="center" shrinkToFit="1"/>
    </xf>
    <xf numFmtId="177" fontId="0" fillId="0" borderId="256" xfId="0" applyNumberFormat="1" applyFont="1" applyFill="1" applyBorder="1" applyAlignment="1">
      <alignment vertical="center" shrinkToFit="1"/>
    </xf>
    <xf numFmtId="177" fontId="0" fillId="0" borderId="255" xfId="0" applyNumberFormat="1" applyFont="1" applyFill="1" applyBorder="1" applyAlignment="1">
      <alignment vertical="center"/>
    </xf>
    <xf numFmtId="177" fontId="0" fillId="0" borderId="243" xfId="0" applyNumberFormat="1" applyFont="1" applyBorder="1" applyAlignment="1">
      <alignment vertical="center" shrinkToFit="1"/>
    </xf>
    <xf numFmtId="177" fontId="0" fillId="0" borderId="243" xfId="0" applyNumberFormat="1" applyFill="1" applyBorder="1" applyAlignment="1">
      <alignment vertical="center" shrinkToFit="1"/>
    </xf>
    <xf numFmtId="177" fontId="0" fillId="0" borderId="256" xfId="0" applyNumberFormat="1" applyFont="1" applyBorder="1" applyAlignment="1">
      <alignment vertical="center"/>
    </xf>
    <xf numFmtId="177" fontId="0" fillId="0" borderId="255" xfId="0" applyNumberFormat="1" applyFont="1" applyBorder="1" applyAlignment="1">
      <alignment vertical="center"/>
    </xf>
    <xf numFmtId="178" fontId="0" fillId="0" borderId="243" xfId="0" applyNumberFormat="1" applyFont="1" applyFill="1" applyBorder="1" applyAlignment="1">
      <alignment vertical="center"/>
    </xf>
    <xf numFmtId="177" fontId="0" fillId="0" borderId="243" xfId="0" applyNumberFormat="1" applyFont="1" applyFill="1" applyBorder="1" applyAlignment="1">
      <alignment vertical="center"/>
    </xf>
    <xf numFmtId="177" fontId="0" fillId="0" borderId="170" xfId="3" applyNumberFormat="1" applyFont="1" applyBorder="1" applyAlignment="1">
      <alignment vertical="center" shrinkToFit="1"/>
    </xf>
    <xf numFmtId="186" fontId="0" fillId="0" borderId="255" xfId="0" applyNumberFormat="1" applyFont="1" applyFill="1" applyBorder="1" applyAlignment="1">
      <alignment vertical="center"/>
    </xf>
    <xf numFmtId="186" fontId="0" fillId="0" borderId="255" xfId="0" applyNumberFormat="1" applyFont="1" applyBorder="1" applyAlignment="1">
      <alignment vertical="center"/>
    </xf>
    <xf numFmtId="177" fontId="0" fillId="0" borderId="243" xfId="0" applyNumberFormat="1" applyFont="1" applyFill="1" applyBorder="1" applyAlignment="1">
      <alignment horizontal="center" vertical="center"/>
    </xf>
    <xf numFmtId="177" fontId="0" fillId="0" borderId="170" xfId="0" applyNumberFormat="1" applyFill="1" applyBorder="1" applyAlignment="1">
      <alignment vertical="center"/>
    </xf>
    <xf numFmtId="177" fontId="0" fillId="0" borderId="243" xfId="3" applyNumberFormat="1" applyFont="1" applyFill="1" applyBorder="1" applyAlignment="1">
      <alignment vertical="center"/>
    </xf>
    <xf numFmtId="182" fontId="0" fillId="0" borderId="170" xfId="0" applyNumberFormat="1" applyFont="1" applyFill="1" applyBorder="1" applyAlignment="1">
      <alignment vertical="center"/>
    </xf>
    <xf numFmtId="177" fontId="0" fillId="0" borderId="170" xfId="0" applyNumberFormat="1" applyFont="1" applyBorder="1" applyAlignment="1">
      <alignment vertical="center"/>
    </xf>
    <xf numFmtId="177" fontId="0" fillId="0" borderId="171" xfId="0" applyNumberFormat="1" applyBorder="1" applyAlignment="1">
      <alignment vertical="center"/>
    </xf>
    <xf numFmtId="177" fontId="0" fillId="2" borderId="243" xfId="0" applyNumberFormat="1" applyFont="1" applyFill="1" applyBorder="1" applyAlignment="1">
      <alignment vertical="center" shrinkToFit="1"/>
    </xf>
    <xf numFmtId="177" fontId="0" fillId="0" borderId="243" xfId="0" applyNumberFormat="1" applyFont="1" applyBorder="1" applyAlignment="1">
      <alignment vertical="center"/>
    </xf>
    <xf numFmtId="177" fontId="0" fillId="0" borderId="171" xfId="0" applyNumberFormat="1" applyFont="1" applyBorder="1" applyAlignment="1">
      <alignment vertical="center"/>
    </xf>
    <xf numFmtId="187" fontId="0" fillId="0" borderId="255" xfId="0" applyNumberFormat="1" applyFont="1" applyFill="1" applyBorder="1" applyAlignment="1">
      <alignment vertical="center"/>
    </xf>
    <xf numFmtId="177" fontId="0" fillId="0" borderId="243" xfId="3" applyNumberFormat="1" applyFont="1" applyBorder="1" applyAlignment="1">
      <alignment vertical="center" shrinkToFit="1"/>
    </xf>
    <xf numFmtId="0" fontId="0" fillId="0" borderId="170" xfId="3" applyFont="1" applyFill="1" applyBorder="1" applyAlignment="1">
      <alignment vertical="center" shrinkToFit="1"/>
    </xf>
    <xf numFmtId="0" fontId="0" fillId="0" borderId="171" xfId="3" applyFont="1" applyFill="1" applyBorder="1" applyAlignment="1">
      <alignment vertical="center" shrinkToFit="1"/>
    </xf>
    <xf numFmtId="187" fontId="0" fillId="0" borderId="171" xfId="0" applyNumberFormat="1" applyFont="1" applyFill="1" applyBorder="1" applyAlignment="1">
      <alignment vertical="center"/>
    </xf>
    <xf numFmtId="178" fontId="0" fillId="0" borderId="171" xfId="0" applyNumberFormat="1" applyFont="1" applyFill="1" applyBorder="1" applyAlignment="1">
      <alignment horizontal="left" vertical="center"/>
    </xf>
    <xf numFmtId="177" fontId="0" fillId="0" borderId="256" xfId="0" applyNumberFormat="1" applyFill="1" applyBorder="1" applyAlignment="1">
      <alignment vertical="center"/>
    </xf>
    <xf numFmtId="0" fontId="0" fillId="0" borderId="170" xfId="3" applyFont="1" applyFill="1" applyBorder="1" applyAlignment="1">
      <alignment vertical="center"/>
    </xf>
    <xf numFmtId="0" fontId="0" fillId="0" borderId="171" xfId="3" applyFont="1" applyFill="1" applyBorder="1" applyAlignment="1">
      <alignment vertical="center"/>
    </xf>
    <xf numFmtId="177" fontId="0" fillId="0" borderId="170" xfId="3" applyNumberFormat="1" applyFont="1" applyFill="1" applyBorder="1" applyAlignment="1">
      <alignment vertical="center"/>
    </xf>
    <xf numFmtId="177" fontId="0" fillId="0" borderId="171" xfId="3" applyNumberFormat="1" applyFont="1" applyFill="1" applyBorder="1" applyAlignment="1">
      <alignment vertical="center"/>
    </xf>
    <xf numFmtId="177" fontId="0" fillId="0" borderId="163" xfId="0" applyNumberFormat="1" applyFont="1" applyFill="1" applyBorder="1" applyAlignment="1">
      <alignment vertical="center"/>
    </xf>
    <xf numFmtId="9" fontId="0" fillId="0" borderId="170" xfId="0" applyNumberFormat="1" applyFont="1" applyFill="1" applyBorder="1" applyAlignment="1">
      <alignment vertical="center"/>
    </xf>
    <xf numFmtId="177" fontId="0" fillId="0" borderId="171" xfId="0" applyNumberFormat="1" applyFont="1" applyFill="1" applyBorder="1" applyAlignment="1">
      <alignment horizontal="left" vertical="center"/>
    </xf>
    <xf numFmtId="178" fontId="0" fillId="0" borderId="170" xfId="0" applyNumberFormat="1" applyFont="1" applyFill="1" applyBorder="1" applyAlignment="1">
      <alignment horizontal="left" vertical="center"/>
    </xf>
    <xf numFmtId="177" fontId="0" fillId="0" borderId="170" xfId="3" applyNumberFormat="1" applyFont="1" applyFill="1" applyBorder="1" applyAlignment="1">
      <alignment vertical="center" shrinkToFit="1"/>
    </xf>
    <xf numFmtId="178" fontId="0" fillId="0" borderId="256" xfId="0" applyNumberFormat="1" applyFont="1" applyFill="1" applyBorder="1" applyAlignment="1">
      <alignment horizontal="left" vertical="center"/>
    </xf>
    <xf numFmtId="177" fontId="0" fillId="0" borderId="256" xfId="3" applyNumberFormat="1" applyFont="1" applyFill="1" applyBorder="1" applyAlignment="1">
      <alignment vertical="center" shrinkToFit="1"/>
    </xf>
    <xf numFmtId="178" fontId="0" fillId="0" borderId="255" xfId="0" applyNumberFormat="1" applyFont="1" applyFill="1" applyBorder="1" applyAlignment="1">
      <alignment horizontal="left" vertical="center"/>
    </xf>
    <xf numFmtId="177" fontId="0" fillId="0" borderId="243" xfId="3" applyNumberFormat="1" applyFont="1" applyFill="1" applyBorder="1" applyAlignment="1">
      <alignment vertical="center" shrinkToFit="1"/>
    </xf>
    <xf numFmtId="177" fontId="0" fillId="0" borderId="163" xfId="0" applyNumberFormat="1" applyBorder="1" applyAlignment="1">
      <alignment vertical="center"/>
    </xf>
    <xf numFmtId="178" fontId="0" fillId="0" borderId="256" xfId="0" applyNumberFormat="1" applyFont="1" applyBorder="1" applyAlignment="1">
      <alignment horizontal="left" vertical="center"/>
    </xf>
    <xf numFmtId="177" fontId="0" fillId="0" borderId="256" xfId="3" applyNumberFormat="1" applyFont="1" applyBorder="1" applyAlignment="1">
      <alignment vertical="center" shrinkToFit="1"/>
    </xf>
    <xf numFmtId="178" fontId="0" fillId="0" borderId="171" xfId="0" applyNumberFormat="1" applyFont="1" applyBorder="1" applyAlignment="1">
      <alignment horizontal="left" vertical="center"/>
    </xf>
    <xf numFmtId="181" fontId="0" fillId="0" borderId="258" xfId="1" applyNumberFormat="1" applyFont="1" applyFill="1" applyBorder="1" applyAlignment="1">
      <alignment vertical="center"/>
    </xf>
    <xf numFmtId="177" fontId="0" fillId="0" borderId="259" xfId="3" applyNumberFormat="1" applyFont="1" applyBorder="1" applyAlignment="1">
      <alignment vertical="center"/>
    </xf>
    <xf numFmtId="177" fontId="0" fillId="0" borderId="259" xfId="3" applyNumberFormat="1" applyFont="1" applyBorder="1" applyAlignment="1">
      <alignment vertical="center" shrinkToFit="1"/>
    </xf>
    <xf numFmtId="188" fontId="0" fillId="0" borderId="260" xfId="3" applyNumberFormat="1" applyFont="1" applyBorder="1" applyAlignment="1">
      <alignment vertical="center"/>
    </xf>
    <xf numFmtId="177" fontId="0" fillId="0" borderId="254" xfId="0" applyNumberFormat="1" applyFill="1" applyBorder="1" applyAlignment="1">
      <alignment vertical="center" shrinkToFit="1"/>
    </xf>
    <xf numFmtId="177" fontId="0" fillId="0" borderId="261" xfId="0" applyNumberFormat="1" applyFill="1" applyBorder="1" applyAlignment="1">
      <alignment vertical="center" shrinkToFit="1"/>
    </xf>
    <xf numFmtId="0" fontId="7" fillId="0" borderId="163" xfId="2" applyFont="1" applyBorder="1" applyAlignment="1">
      <alignment horizontal="left" vertical="center"/>
    </xf>
    <xf numFmtId="0" fontId="7" fillId="0" borderId="170" xfId="2" applyFont="1" applyBorder="1" applyAlignment="1">
      <alignment vertical="center" wrapText="1"/>
    </xf>
    <xf numFmtId="0" fontId="7" fillId="0" borderId="52" xfId="2" applyFont="1" applyBorder="1" applyAlignment="1">
      <alignment vertical="center" wrapText="1"/>
    </xf>
    <xf numFmtId="189" fontId="7" fillId="0" borderId="23" xfId="2" applyNumberFormat="1" applyFont="1" applyFill="1" applyBorder="1" applyAlignment="1">
      <alignment vertical="center" wrapText="1"/>
    </xf>
    <xf numFmtId="0" fontId="0" fillId="0" borderId="27" xfId="2" applyFont="1" applyBorder="1" applyAlignment="1">
      <alignment horizontal="center" vertical="center" wrapText="1"/>
    </xf>
    <xf numFmtId="0" fontId="0" fillId="0" borderId="116" xfId="2" applyFont="1" applyBorder="1" applyAlignment="1">
      <alignment horizontal="center" vertical="center" wrapText="1"/>
    </xf>
    <xf numFmtId="0" fontId="7" fillId="0" borderId="163" xfId="2" applyFont="1" applyBorder="1" applyAlignment="1">
      <alignment vertical="center"/>
    </xf>
    <xf numFmtId="0" fontId="0" fillId="0" borderId="52" xfId="2" applyFont="1" applyBorder="1" applyAlignment="1">
      <alignment horizontal="center" vertical="center" wrapText="1"/>
    </xf>
    <xf numFmtId="0" fontId="0" fillId="0" borderId="170" xfId="2" applyFont="1" applyBorder="1" applyAlignment="1">
      <alignment horizontal="center" vertical="center" wrapText="1"/>
    </xf>
    <xf numFmtId="0" fontId="1" fillId="0" borderId="264" xfId="2" applyFont="1" applyFill="1" applyBorder="1" applyAlignment="1">
      <alignment vertical="center" wrapText="1"/>
    </xf>
    <xf numFmtId="0" fontId="1" fillId="0" borderId="0" xfId="2" applyFont="1" applyFill="1" applyBorder="1" applyAlignment="1">
      <alignment vertical="center" wrapText="1"/>
    </xf>
    <xf numFmtId="0" fontId="1" fillId="0" borderId="259" xfId="2" applyFont="1" applyFill="1" applyBorder="1" applyAlignment="1">
      <alignment vertical="center" wrapText="1"/>
    </xf>
    <xf numFmtId="0" fontId="1" fillId="0" borderId="92" xfId="2" applyFont="1" applyBorder="1" applyAlignment="1">
      <alignment horizontal="center" vertical="center"/>
    </xf>
    <xf numFmtId="0" fontId="0" fillId="0" borderId="92" xfId="2" applyFont="1" applyBorder="1" applyAlignment="1">
      <alignment vertical="center" wrapText="1"/>
    </xf>
    <xf numFmtId="0" fontId="1" fillId="0" borderId="92" xfId="2" applyFont="1" applyBorder="1" applyAlignment="1">
      <alignment vertical="center" wrapText="1"/>
    </xf>
    <xf numFmtId="0" fontId="0" fillId="0" borderId="92" xfId="2" applyFont="1" applyBorder="1" applyAlignment="1">
      <alignment horizontal="left" vertical="center"/>
    </xf>
    <xf numFmtId="0" fontId="7" fillId="0" borderId="207" xfId="2" applyFont="1" applyBorder="1" applyAlignment="1">
      <alignment horizontal="center" vertical="center" wrapText="1"/>
    </xf>
    <xf numFmtId="0" fontId="7" fillId="0" borderId="88" xfId="2" applyFont="1" applyFill="1" applyBorder="1" applyAlignment="1">
      <alignment horizontal="center" vertical="center" wrapText="1"/>
    </xf>
    <xf numFmtId="0" fontId="7" fillId="0" borderId="208" xfId="2" applyFont="1" applyBorder="1" applyAlignment="1">
      <alignment vertical="center" wrapText="1"/>
    </xf>
    <xf numFmtId="0" fontId="0" fillId="0" borderId="88" xfId="2" applyFont="1" applyBorder="1" applyAlignment="1">
      <alignment horizontal="center" vertical="center" shrinkToFit="1"/>
    </xf>
    <xf numFmtId="0" fontId="1" fillId="0" borderId="88" xfId="2" applyFont="1" applyBorder="1" applyAlignment="1">
      <alignment horizontal="center" vertical="center" shrinkToFit="1"/>
    </xf>
    <xf numFmtId="0" fontId="1" fillId="0" borderId="208" xfId="2" applyFont="1" applyBorder="1" applyAlignment="1">
      <alignment horizontal="center" vertical="center" shrinkToFit="1"/>
    </xf>
    <xf numFmtId="0" fontId="7" fillId="0" borderId="88" xfId="2" applyFont="1" applyFill="1" applyBorder="1" applyAlignment="1">
      <alignment vertical="center" wrapText="1"/>
    </xf>
    <xf numFmtId="0" fontId="7" fillId="0" borderId="88" xfId="2" applyFont="1" applyFill="1" applyBorder="1" applyAlignment="1">
      <alignment horizontal="center" vertical="center"/>
    </xf>
    <xf numFmtId="190" fontId="1" fillId="0" borderId="88" xfId="2" applyNumberFormat="1" applyFont="1" applyBorder="1" applyAlignment="1">
      <alignment horizontal="center" vertical="center" wrapText="1"/>
    </xf>
    <xf numFmtId="0" fontId="7" fillId="0" borderId="208" xfId="2" applyFont="1" applyBorder="1" applyAlignment="1">
      <alignment horizontal="center" vertical="center" wrapText="1"/>
    </xf>
    <xf numFmtId="0" fontId="0" fillId="0" borderId="88" xfId="2" applyFont="1" applyFill="1" applyBorder="1" applyAlignment="1">
      <alignment horizontal="center" vertical="center" wrapText="1"/>
    </xf>
    <xf numFmtId="0" fontId="0" fillId="0" borderId="88" xfId="2" applyFont="1" applyBorder="1" applyAlignment="1">
      <alignment horizontal="left" vertical="center" wrapText="1"/>
    </xf>
    <xf numFmtId="0" fontId="1" fillId="0" borderId="88" xfId="2" applyFont="1" applyBorder="1" applyAlignment="1">
      <alignment horizontal="left" vertical="center" wrapText="1"/>
    </xf>
    <xf numFmtId="0" fontId="0" fillId="0" borderId="88" xfId="2" applyFont="1" applyFill="1" applyBorder="1" applyAlignment="1">
      <alignment horizontal="left" vertical="center" wrapText="1"/>
    </xf>
    <xf numFmtId="0" fontId="1" fillId="0" borderId="208" xfId="2" applyFont="1" applyBorder="1" applyAlignment="1">
      <alignment horizontal="center" vertical="center" wrapText="1"/>
    </xf>
    <xf numFmtId="0" fontId="0" fillId="0" borderId="88" xfId="2" applyFont="1" applyFill="1" applyBorder="1" applyAlignment="1">
      <alignment horizontal="center" vertical="center" shrinkToFit="1"/>
    </xf>
    <xf numFmtId="0" fontId="1" fillId="0" borderId="88" xfId="2" applyFont="1" applyFill="1" applyBorder="1" applyAlignment="1">
      <alignment horizontal="center" vertical="center" shrinkToFit="1"/>
    </xf>
    <xf numFmtId="0" fontId="0" fillId="0" borderId="88" xfId="2" applyFont="1" applyFill="1" applyBorder="1" applyAlignment="1">
      <alignment vertical="center" wrapText="1"/>
    </xf>
    <xf numFmtId="0" fontId="1" fillId="0" borderId="88" xfId="2" applyFont="1" applyFill="1" applyBorder="1" applyAlignment="1">
      <alignment horizontal="center" vertical="center" wrapText="1"/>
    </xf>
    <xf numFmtId="190" fontId="1" fillId="0" borderId="88" xfId="2" applyNumberFormat="1" applyFont="1" applyFill="1" applyBorder="1" applyAlignment="1">
      <alignment horizontal="center" vertical="center" wrapText="1"/>
    </xf>
    <xf numFmtId="0" fontId="7" fillId="0" borderId="88" xfId="2" applyFont="1" applyFill="1" applyBorder="1" applyAlignment="1">
      <alignment horizontal="left" vertical="center" wrapText="1"/>
    </xf>
    <xf numFmtId="0" fontId="1" fillId="0" borderId="88" xfId="2" applyFont="1" applyFill="1" applyBorder="1" applyAlignment="1">
      <alignment horizontal="left" vertical="center" wrapText="1"/>
    </xf>
    <xf numFmtId="0" fontId="1" fillId="0" borderId="208" xfId="2" applyFont="1" applyBorder="1" applyAlignment="1">
      <alignment horizontal="left" vertical="center" wrapText="1"/>
    </xf>
    <xf numFmtId="176" fontId="0" fillId="0" borderId="243" xfId="0" applyNumberFormat="1" applyFont="1" applyBorder="1" applyAlignment="1">
      <alignment horizontal="center" vertical="center"/>
    </xf>
    <xf numFmtId="176" fontId="0" fillId="0" borderId="276" xfId="0" applyNumberFormat="1" applyFont="1" applyBorder="1" applyAlignment="1">
      <alignment horizontal="center" vertical="center"/>
    </xf>
    <xf numFmtId="176" fontId="0" fillId="0" borderId="256" xfId="0" applyNumberFormat="1" applyFont="1" applyBorder="1" applyAlignment="1">
      <alignment horizontal="center" vertical="center"/>
    </xf>
    <xf numFmtId="176" fontId="0" fillId="0" borderId="40" xfId="0" applyNumberFormat="1" applyBorder="1" applyAlignment="1">
      <alignment vertical="center"/>
    </xf>
    <xf numFmtId="176" fontId="0" fillId="0" borderId="40" xfId="0" applyNumberFormat="1" applyFont="1" applyBorder="1" applyAlignment="1">
      <alignment vertical="center"/>
    </xf>
    <xf numFmtId="176" fontId="0" fillId="0" borderId="243" xfId="0" applyNumberFormat="1" applyFont="1" applyBorder="1" applyAlignment="1">
      <alignment vertical="center"/>
    </xf>
    <xf numFmtId="176" fontId="0" fillId="0" borderId="256" xfId="0" applyNumberFormat="1" applyFont="1" applyBorder="1" applyAlignment="1">
      <alignment vertical="center"/>
    </xf>
    <xf numFmtId="176" fontId="0" fillId="0" borderId="255" xfId="0" applyNumberFormat="1" applyFont="1" applyBorder="1" applyAlignment="1">
      <alignment vertical="center"/>
    </xf>
    <xf numFmtId="176" fontId="0" fillId="0" borderId="254" xfId="0" applyNumberFormat="1" applyFont="1" applyBorder="1" applyAlignment="1">
      <alignment horizontal="left" vertical="center" indent="1"/>
    </xf>
    <xf numFmtId="179" fontId="0" fillId="0" borderId="243" xfId="0" applyNumberFormat="1" applyFont="1" applyBorder="1" applyAlignment="1">
      <alignment vertical="center" shrinkToFit="1"/>
    </xf>
    <xf numFmtId="179" fontId="0" fillId="0" borderId="276" xfId="0" applyNumberFormat="1" applyFont="1" applyBorder="1" applyAlignment="1">
      <alignment vertical="center" shrinkToFit="1"/>
    </xf>
    <xf numFmtId="179" fontId="0" fillId="0" borderId="244" xfId="0" applyNumberFormat="1" applyFont="1" applyBorder="1" applyAlignment="1">
      <alignment vertical="center" shrinkToFit="1"/>
    </xf>
    <xf numFmtId="179" fontId="0" fillId="0" borderId="24" xfId="0" applyNumberFormat="1" applyFont="1" applyBorder="1" applyAlignment="1">
      <alignment vertical="center"/>
    </xf>
    <xf numFmtId="176" fontId="0" fillId="0" borderId="254" xfId="0" applyNumberFormat="1" applyFont="1" applyBorder="1" applyAlignment="1">
      <alignment horizontal="center" vertical="center"/>
    </xf>
    <xf numFmtId="179" fontId="0" fillId="0" borderId="256" xfId="0" applyNumberFormat="1" applyFont="1" applyBorder="1" applyAlignment="1">
      <alignment vertical="center" shrinkToFit="1"/>
    </xf>
    <xf numFmtId="179" fontId="0" fillId="0" borderId="278" xfId="0" applyNumberFormat="1" applyFont="1" applyBorder="1" applyAlignment="1">
      <alignment horizontal="center" vertical="center" shrinkToFit="1"/>
    </xf>
    <xf numFmtId="179" fontId="0" fillId="0" borderId="243" xfId="0" applyNumberFormat="1" applyFont="1" applyBorder="1" applyAlignment="1">
      <alignment horizontal="center" vertical="center" shrinkToFit="1"/>
    </xf>
    <xf numFmtId="176" fontId="0" fillId="0" borderId="244" xfId="0" applyNumberFormat="1" applyFont="1" applyBorder="1" applyAlignment="1">
      <alignment horizontal="center" vertical="center" shrinkToFit="1"/>
    </xf>
    <xf numFmtId="191" fontId="0" fillId="0" borderId="243" xfId="0" applyNumberFormat="1" applyFont="1" applyBorder="1" applyAlignment="1">
      <alignment vertical="center" shrinkToFit="1"/>
    </xf>
    <xf numFmtId="182" fontId="0" fillId="0" borderId="243" xfId="4" applyNumberFormat="1" applyFont="1" applyBorder="1" applyAlignment="1">
      <alignment vertical="center" shrinkToFit="1"/>
    </xf>
    <xf numFmtId="9" fontId="0" fillId="0" borderId="243" xfId="0" applyNumberFormat="1" applyFont="1" applyBorder="1" applyAlignment="1">
      <alignment vertical="center" shrinkToFit="1"/>
    </xf>
    <xf numFmtId="176" fontId="0" fillId="0" borderId="243" xfId="0" applyNumberFormat="1" applyFont="1" applyBorder="1" applyAlignment="1">
      <alignment horizontal="right" vertical="center" shrinkToFit="1"/>
    </xf>
    <xf numFmtId="176" fontId="0" fillId="2" borderId="243" xfId="0" applyNumberFormat="1" applyFont="1" applyFill="1" applyBorder="1" applyAlignment="1">
      <alignment horizontal="center" vertical="center" shrinkToFit="1"/>
    </xf>
    <xf numFmtId="176" fontId="0" fillId="2" borderId="243" xfId="0" applyNumberFormat="1" applyFont="1" applyFill="1" applyBorder="1" applyAlignment="1">
      <alignment vertical="center" shrinkToFit="1"/>
    </xf>
    <xf numFmtId="179" fontId="0" fillId="2" borderId="243" xfId="0" applyNumberFormat="1" applyFont="1" applyFill="1" applyBorder="1" applyAlignment="1">
      <alignment vertical="center" shrinkToFit="1"/>
    </xf>
    <xf numFmtId="176" fontId="0" fillId="2" borderId="244" xfId="0" applyNumberFormat="1" applyFont="1" applyFill="1" applyBorder="1" applyAlignment="1">
      <alignment vertical="center" shrinkToFit="1"/>
    </xf>
    <xf numFmtId="9" fontId="0" fillId="0" borderId="243" xfId="0" applyNumberFormat="1" applyFont="1" applyFill="1" applyBorder="1" applyAlignment="1">
      <alignment vertical="center" shrinkToFit="1"/>
    </xf>
    <xf numFmtId="9" fontId="0" fillId="0" borderId="243" xfId="4" applyFont="1" applyBorder="1" applyAlignment="1">
      <alignment vertical="center" shrinkToFit="1"/>
    </xf>
    <xf numFmtId="176" fontId="1" fillId="0" borderId="88" xfId="0" applyNumberFormat="1" applyFont="1" applyBorder="1" applyAlignment="1">
      <alignment vertical="center" shrinkToFit="1"/>
    </xf>
    <xf numFmtId="9" fontId="1" fillId="0" borderId="88" xfId="0" applyNumberFormat="1" applyFont="1" applyBorder="1" applyAlignment="1">
      <alignment vertical="center" shrinkToFit="1"/>
    </xf>
    <xf numFmtId="176" fontId="0" fillId="0" borderId="88" xfId="0" applyNumberFormat="1" applyFont="1" applyFill="1" applyBorder="1" applyAlignment="1">
      <alignment vertical="center" shrinkToFit="1"/>
    </xf>
    <xf numFmtId="0" fontId="0" fillId="0" borderId="187" xfId="0" applyFont="1" applyBorder="1" applyAlignment="1">
      <alignment horizontal="center" vertical="center"/>
    </xf>
    <xf numFmtId="181" fontId="0" fillId="0" borderId="187" xfId="0" applyNumberFormat="1" applyFont="1" applyBorder="1" applyAlignment="1">
      <alignment horizontal="right" vertical="center"/>
    </xf>
    <xf numFmtId="189" fontId="0" fillId="0" borderId="79" xfId="0" applyNumberFormat="1" applyFont="1" applyBorder="1" applyAlignment="1">
      <alignment horizontal="center" vertical="center"/>
    </xf>
    <xf numFmtId="181" fontId="0" fillId="0" borderId="248" xfId="0" applyNumberFormat="1" applyFont="1" applyBorder="1" applyAlignment="1">
      <alignment horizontal="right" vertical="center"/>
    </xf>
    <xf numFmtId="181" fontId="0" fillId="3" borderId="182" xfId="1" applyNumberFormat="1" applyFont="1" applyFill="1" applyBorder="1" applyAlignment="1">
      <alignment horizontal="right" vertical="center"/>
    </xf>
    <xf numFmtId="181" fontId="0" fillId="8" borderId="24" xfId="0" applyNumberFormat="1" applyFont="1" applyFill="1" applyBorder="1" applyAlignment="1">
      <alignment horizontal="right" vertical="center"/>
    </xf>
    <xf numFmtId="181" fontId="0" fillId="8" borderId="38" xfId="0" applyNumberFormat="1" applyFont="1" applyFill="1" applyBorder="1" applyAlignment="1">
      <alignment horizontal="right" vertical="center"/>
    </xf>
    <xf numFmtId="181" fontId="0" fillId="9" borderId="49" xfId="0" applyNumberFormat="1" applyFont="1" applyFill="1" applyBorder="1" applyAlignment="1">
      <alignment horizontal="right" vertical="center"/>
    </xf>
    <xf numFmtId="181" fontId="0" fillId="0" borderId="179" xfId="0" applyNumberFormat="1" applyFont="1" applyBorder="1" applyAlignment="1">
      <alignment horizontal="right" vertical="center"/>
    </xf>
    <xf numFmtId="0" fontId="7" fillId="0" borderId="88" xfId="2" applyFont="1" applyBorder="1" applyAlignment="1">
      <alignment horizontal="center" vertical="center" wrapText="1"/>
    </xf>
    <xf numFmtId="0" fontId="1" fillId="0" borderId="88" xfId="2" applyFont="1" applyBorder="1" applyAlignment="1">
      <alignment horizontal="center" vertical="center" wrapText="1"/>
    </xf>
    <xf numFmtId="0" fontId="7" fillId="0" borderId="163" xfId="2" applyFont="1" applyBorder="1" applyAlignment="1">
      <alignment horizontal="center" vertical="center" wrapText="1"/>
    </xf>
    <xf numFmtId="0" fontId="7" fillId="0" borderId="163" xfId="2" applyFont="1" applyBorder="1" applyAlignment="1">
      <alignment vertical="center" wrapText="1"/>
    </xf>
    <xf numFmtId="0" fontId="7" fillId="0" borderId="204" xfId="2" applyFont="1" applyBorder="1" applyAlignment="1">
      <alignment horizontal="center" vertical="center" wrapText="1"/>
    </xf>
    <xf numFmtId="0" fontId="7" fillId="0" borderId="176" xfId="2" applyFont="1" applyBorder="1" applyAlignment="1">
      <alignment horizontal="center" vertical="center" wrapText="1"/>
    </xf>
    <xf numFmtId="0" fontId="7" fillId="0" borderId="9" xfId="2" applyFont="1" applyBorder="1" applyAlignment="1">
      <alignment horizontal="center" vertical="center" wrapText="1"/>
    </xf>
    <xf numFmtId="0" fontId="7" fillId="0" borderId="9" xfId="2" applyFont="1" applyBorder="1" applyAlignment="1">
      <alignment vertical="center" wrapText="1"/>
    </xf>
    <xf numFmtId="0" fontId="1" fillId="0" borderId="9" xfId="2" applyFont="1" applyBorder="1" applyAlignment="1">
      <alignment horizontal="center" vertical="center" wrapText="1"/>
    </xf>
    <xf numFmtId="176" fontId="0" fillId="0" borderId="24" xfId="0" applyNumberFormat="1" applyFont="1" applyBorder="1" applyAlignment="1">
      <alignment vertical="center"/>
    </xf>
    <xf numFmtId="192" fontId="7" fillId="0" borderId="88" xfId="2" applyNumberFormat="1" applyFont="1" applyFill="1" applyBorder="1" applyAlignment="1">
      <alignment vertical="center" wrapText="1"/>
    </xf>
    <xf numFmtId="193" fontId="1" fillId="0" borderId="0" xfId="2" applyNumberFormat="1" applyFont="1" applyFill="1" applyBorder="1" applyAlignment="1">
      <alignment vertical="center" wrapText="1"/>
    </xf>
    <xf numFmtId="192" fontId="0" fillId="0" borderId="79" xfId="0" applyNumberFormat="1" applyFont="1" applyBorder="1" applyAlignment="1">
      <alignment horizontal="center" vertical="center"/>
    </xf>
    <xf numFmtId="38" fontId="0" fillId="0" borderId="244" xfId="1" applyFont="1" applyBorder="1" applyAlignment="1">
      <alignment vertical="center" shrinkToFit="1"/>
    </xf>
    <xf numFmtId="176" fontId="0" fillId="0" borderId="0" xfId="0" applyNumberFormat="1" applyFont="1" applyAlignment="1">
      <alignment horizontal="center" vertical="center"/>
    </xf>
    <xf numFmtId="176" fontId="0" fillId="0" borderId="19" xfId="0" applyNumberFormat="1" applyFont="1" applyFill="1" applyBorder="1" applyAlignment="1">
      <alignment horizontal="center" vertical="center" shrinkToFit="1"/>
    </xf>
    <xf numFmtId="176" fontId="5" fillId="0" borderId="2" xfId="0" applyNumberFormat="1" applyFont="1" applyBorder="1" applyAlignment="1">
      <alignment vertical="center" shrinkToFit="1"/>
    </xf>
    <xf numFmtId="177" fontId="0" fillId="0" borderId="88" xfId="0" applyNumberFormat="1" applyFont="1" applyBorder="1" applyAlignment="1">
      <alignment horizontal="center" vertical="center" shrinkToFit="1"/>
    </xf>
    <xf numFmtId="176" fontId="0" fillId="0" borderId="24" xfId="0" applyNumberFormat="1" applyFont="1" applyBorder="1" applyAlignment="1">
      <alignment vertical="center"/>
    </xf>
    <xf numFmtId="177" fontId="1" fillId="0" borderId="24" xfId="3" applyNumberFormat="1" applyFont="1" applyBorder="1" applyAlignment="1">
      <alignment vertical="center" shrinkToFit="1"/>
    </xf>
    <xf numFmtId="176" fontId="1" fillId="0" borderId="24" xfId="3" applyNumberFormat="1" applyFont="1" applyFill="1" applyBorder="1" applyAlignment="1">
      <alignment vertical="center" shrinkToFit="1"/>
    </xf>
    <xf numFmtId="179" fontId="1" fillId="0" borderId="24" xfId="0" applyNumberFormat="1" applyFont="1" applyFill="1" applyBorder="1" applyAlignment="1">
      <alignment vertical="center"/>
    </xf>
    <xf numFmtId="177" fontId="1" fillId="0" borderId="24" xfId="3" applyNumberFormat="1" applyFont="1" applyFill="1" applyBorder="1" applyAlignment="1">
      <alignment vertical="center" shrinkToFit="1"/>
    </xf>
    <xf numFmtId="182" fontId="1" fillId="0" borderId="24" xfId="3" applyNumberFormat="1" applyFont="1" applyFill="1" applyBorder="1" applyAlignment="1">
      <alignment vertical="center" shrinkToFit="1"/>
    </xf>
    <xf numFmtId="176" fontId="1" fillId="0" borderId="63" xfId="0" applyNumberFormat="1" applyFont="1" applyBorder="1" applyAlignment="1">
      <alignment vertical="center"/>
    </xf>
    <xf numFmtId="177" fontId="1" fillId="0" borderId="156" xfId="3" applyNumberFormat="1" applyFont="1" applyBorder="1" applyAlignment="1">
      <alignment vertical="center" shrinkToFit="1"/>
    </xf>
    <xf numFmtId="176" fontId="1" fillId="0" borderId="156" xfId="0" applyNumberFormat="1" applyFont="1" applyBorder="1" applyAlignment="1">
      <alignment vertical="center"/>
    </xf>
    <xf numFmtId="176" fontId="1" fillId="0" borderId="157" xfId="0" applyNumberFormat="1" applyFont="1" applyBorder="1" applyAlignment="1">
      <alignment vertical="center"/>
    </xf>
    <xf numFmtId="177" fontId="0" fillId="0" borderId="88" xfId="0" applyNumberFormat="1" applyFont="1" applyBorder="1" applyAlignment="1">
      <alignment horizontal="center" vertical="center" shrinkToFit="1"/>
    </xf>
    <xf numFmtId="177" fontId="0" fillId="0" borderId="88" xfId="0" applyNumberFormat="1" applyFont="1" applyFill="1" applyBorder="1" applyAlignment="1">
      <alignment vertical="center" shrinkToFit="1"/>
    </xf>
    <xf numFmtId="177" fontId="0" fillId="0" borderId="163" xfId="0" applyNumberFormat="1" applyFont="1" applyBorder="1" applyAlignment="1">
      <alignment horizontal="center" vertical="center" shrinkToFit="1"/>
    </xf>
    <xf numFmtId="177" fontId="0" fillId="0" borderId="52" xfId="0" applyNumberFormat="1" applyFont="1" applyBorder="1" applyAlignment="1">
      <alignment horizontal="center" vertical="center" shrinkToFit="1"/>
    </xf>
    <xf numFmtId="177" fontId="0" fillId="2" borderId="164" xfId="0" applyNumberFormat="1" applyFont="1" applyFill="1" applyBorder="1" applyAlignment="1">
      <alignment horizontal="center" vertical="center" shrinkToFit="1"/>
    </xf>
    <xf numFmtId="176" fontId="0" fillId="0" borderId="24" xfId="0" applyNumberFormat="1" applyFont="1" applyBorder="1" applyAlignment="1">
      <alignment vertical="center"/>
    </xf>
    <xf numFmtId="177" fontId="0" fillId="0" borderId="176" xfId="0" applyNumberFormat="1" applyFont="1" applyBorder="1" applyAlignment="1">
      <alignment horizontal="center" vertical="center" shrinkToFit="1"/>
    </xf>
    <xf numFmtId="176" fontId="0" fillId="0" borderId="156" xfId="0" applyNumberFormat="1" applyFont="1" applyBorder="1" applyAlignment="1">
      <alignment vertical="center"/>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278" xfId="0" applyNumberFormat="1" applyFont="1" applyBorder="1" applyAlignment="1">
      <alignment horizontal="center" vertical="center" shrinkToFit="1"/>
    </xf>
    <xf numFmtId="177" fontId="0" fillId="0" borderId="87" xfId="0" applyNumberFormat="1" applyFont="1" applyFill="1" applyBorder="1" applyAlignment="1">
      <alignment vertical="center" shrinkToFit="1"/>
    </xf>
    <xf numFmtId="177" fontId="0" fillId="0" borderId="88" xfId="0" applyNumberFormat="1" applyFont="1" applyFill="1" applyBorder="1" applyAlignment="1">
      <alignment horizontal="center" vertical="center" shrinkToFit="1"/>
    </xf>
    <xf numFmtId="177" fontId="0" fillId="0" borderId="77" xfId="0" applyNumberFormat="1" applyFont="1" applyFill="1" applyBorder="1" applyAlignment="1">
      <alignment vertical="center" shrinkToFit="1"/>
    </xf>
    <xf numFmtId="179" fontId="0" fillId="0" borderId="156" xfId="0" applyNumberFormat="1" applyFont="1" applyBorder="1" applyAlignment="1">
      <alignment vertical="center" shrinkToFit="1"/>
    </xf>
    <xf numFmtId="176" fontId="1" fillId="0" borderId="88" xfId="0" applyNumberFormat="1" applyFont="1" applyFill="1" applyBorder="1" applyAlignment="1">
      <alignment vertical="center" shrinkToFit="1"/>
    </xf>
    <xf numFmtId="176" fontId="1" fillId="0" borderId="88" xfId="0" applyNumberFormat="1" applyFont="1" applyFill="1" applyBorder="1" applyAlignment="1">
      <alignment horizontal="center" vertical="center" shrinkToFit="1"/>
    </xf>
    <xf numFmtId="176" fontId="1" fillId="0" borderId="88" xfId="0" applyNumberFormat="1" applyFont="1" applyFill="1" applyBorder="1" applyAlignment="1">
      <alignment horizontal="right" vertical="center" shrinkToFit="1"/>
    </xf>
    <xf numFmtId="176" fontId="0" fillId="0" borderId="243" xfId="0" applyNumberFormat="1" applyFont="1" applyFill="1" applyBorder="1" applyAlignment="1">
      <alignment horizontal="right" vertical="center" shrinkToFit="1"/>
    </xf>
    <xf numFmtId="176" fontId="0" fillId="0" borderId="243" xfId="0" applyNumberFormat="1" applyFont="1" applyFill="1" applyBorder="1" applyAlignment="1">
      <alignment horizontal="center" vertical="center" shrinkToFit="1"/>
    </xf>
    <xf numFmtId="176" fontId="0" fillId="0" borderId="88" xfId="0" applyNumberFormat="1" applyFont="1" applyFill="1" applyBorder="1" applyAlignment="1">
      <alignment horizontal="center" vertical="center" shrinkToFit="1"/>
    </xf>
    <xf numFmtId="176" fontId="0" fillId="0" borderId="243" xfId="0" applyNumberFormat="1" applyFont="1" applyFill="1" applyBorder="1">
      <alignment vertical="center"/>
    </xf>
    <xf numFmtId="176" fontId="1" fillId="0" borderId="243" xfId="0" applyNumberFormat="1" applyFont="1" applyFill="1" applyBorder="1">
      <alignment vertical="center"/>
    </xf>
    <xf numFmtId="176" fontId="0" fillId="0" borderId="219" xfId="0" applyNumberFormat="1" applyFont="1" applyFill="1" applyBorder="1" applyAlignment="1">
      <alignment vertical="center"/>
    </xf>
    <xf numFmtId="185" fontId="0" fillId="0" borderId="88" xfId="0" applyNumberFormat="1" applyFont="1" applyFill="1" applyBorder="1" applyAlignment="1">
      <alignment horizontal="right" vertical="center" shrinkToFit="1"/>
    </xf>
    <xf numFmtId="181" fontId="0" fillId="9" borderId="24" xfId="0" applyNumberFormat="1" applyFont="1" applyFill="1" applyBorder="1" applyAlignment="1">
      <alignment horizontal="right" vertical="center"/>
    </xf>
    <xf numFmtId="0" fontId="7" fillId="0" borderId="88" xfId="2" applyFont="1" applyBorder="1" applyAlignment="1">
      <alignment horizontal="center" vertical="center" wrapText="1"/>
    </xf>
    <xf numFmtId="0" fontId="1" fillId="0" borderId="88" xfId="2" applyFont="1" applyBorder="1" applyAlignment="1">
      <alignment horizontal="center" vertical="center" wrapText="1"/>
    </xf>
    <xf numFmtId="0" fontId="7" fillId="0" borderId="272" xfId="2" applyFont="1" applyBorder="1" applyAlignment="1">
      <alignment horizontal="center" vertical="center" wrapText="1"/>
    </xf>
    <xf numFmtId="0" fontId="7" fillId="0" borderId="204" xfId="2" applyFont="1" applyBorder="1" applyAlignment="1">
      <alignment horizontal="center" vertical="center" wrapText="1"/>
    </xf>
    <xf numFmtId="0" fontId="0" fillId="0" borderId="24" xfId="0" applyFont="1" applyFill="1" applyBorder="1" applyAlignment="1">
      <alignment vertical="center"/>
    </xf>
    <xf numFmtId="177" fontId="0" fillId="0" borderId="88" xfId="0" applyNumberFormat="1" applyFont="1" applyFill="1" applyBorder="1" applyAlignment="1">
      <alignment vertical="center" shrinkToFit="1"/>
    </xf>
    <xf numFmtId="177" fontId="0" fillId="0" borderId="257" xfId="0" applyNumberFormat="1" applyFont="1" applyFill="1" applyBorder="1" applyAlignment="1">
      <alignment vertical="center" shrinkToFit="1"/>
    </xf>
    <xf numFmtId="177" fontId="0" fillId="0" borderId="170" xfId="0" applyNumberFormat="1" applyFont="1" applyFill="1" applyBorder="1" applyAlignment="1">
      <alignment vertical="center"/>
    </xf>
    <xf numFmtId="177" fontId="0" fillId="0" borderId="170" xfId="0" applyNumberFormat="1" applyFont="1" applyBorder="1" applyAlignment="1">
      <alignment vertical="center"/>
    </xf>
    <xf numFmtId="177" fontId="0" fillId="0" borderId="170" xfId="0" applyNumberFormat="1" applyFont="1" applyFill="1" applyBorder="1" applyAlignment="1">
      <alignment vertical="center" shrinkToFit="1"/>
    </xf>
    <xf numFmtId="176" fontId="0" fillId="0" borderId="24" xfId="0" applyNumberFormat="1" applyFont="1" applyBorder="1" applyAlignment="1">
      <alignment vertical="center"/>
    </xf>
    <xf numFmtId="177" fontId="0" fillId="0" borderId="38" xfId="3" applyNumberFormat="1" applyFont="1" applyBorder="1" applyAlignment="1">
      <alignment horizontal="center" vertical="center" shrinkToFit="1"/>
    </xf>
    <xf numFmtId="0" fontId="0" fillId="0" borderId="36" xfId="2" applyFont="1" applyBorder="1" applyAlignment="1">
      <alignment vertical="center"/>
    </xf>
    <xf numFmtId="0" fontId="1" fillId="0" borderId="264" xfId="2" applyFont="1" applyBorder="1" applyAlignment="1">
      <alignment vertical="center"/>
    </xf>
    <xf numFmtId="0" fontId="1" fillId="0" borderId="264" xfId="2" applyFont="1" applyBorder="1" applyAlignment="1">
      <alignment horizontal="right" vertical="center"/>
    </xf>
    <xf numFmtId="0" fontId="0" fillId="0" borderId="264" xfId="2" applyFont="1" applyBorder="1" applyAlignment="1">
      <alignment vertical="center"/>
    </xf>
    <xf numFmtId="0" fontId="1" fillId="0" borderId="267" xfId="2" applyFont="1" applyBorder="1" applyAlignment="1">
      <alignment vertical="center"/>
    </xf>
    <xf numFmtId="0" fontId="7" fillId="0" borderId="282" xfId="2" applyFont="1" applyBorder="1" applyAlignment="1">
      <alignment horizontal="center" vertical="center" wrapText="1"/>
    </xf>
    <xf numFmtId="176" fontId="15" fillId="0" borderId="0" xfId="0" applyNumberFormat="1" applyFont="1" applyAlignment="1">
      <alignment vertical="center"/>
    </xf>
    <xf numFmtId="179" fontId="15" fillId="5" borderId="0" xfId="0" applyNumberFormat="1" applyFont="1" applyFill="1" applyBorder="1" applyAlignment="1">
      <alignment vertical="center"/>
    </xf>
    <xf numFmtId="179" fontId="15" fillId="0" borderId="0" xfId="0" applyNumberFormat="1" applyFont="1" applyBorder="1" applyAlignment="1">
      <alignment vertical="center"/>
    </xf>
    <xf numFmtId="38" fontId="1" fillId="0" borderId="243" xfId="1" applyFont="1" applyFill="1" applyBorder="1" applyAlignment="1">
      <alignment vertical="center" shrinkToFit="1"/>
    </xf>
    <xf numFmtId="177" fontId="1" fillId="0" borderId="243" xfId="0" applyNumberFormat="1" applyFont="1" applyFill="1" applyBorder="1" applyAlignment="1">
      <alignment vertical="center" shrinkToFit="1"/>
    </xf>
    <xf numFmtId="194" fontId="1" fillId="0" borderId="243" xfId="0" applyNumberFormat="1" applyFont="1" applyFill="1" applyBorder="1" applyAlignment="1">
      <alignment vertical="center" shrinkToFit="1"/>
    </xf>
    <xf numFmtId="177" fontId="15" fillId="7" borderId="0" xfId="0" applyNumberFormat="1" applyFont="1" applyFill="1" applyAlignment="1">
      <alignment vertical="center"/>
    </xf>
    <xf numFmtId="177" fontId="0" fillId="0" borderId="280" xfId="0" applyNumberFormat="1" applyFont="1" applyFill="1" applyBorder="1" applyAlignment="1">
      <alignment vertical="center" shrinkToFit="1"/>
    </xf>
    <xf numFmtId="177" fontId="0" fillId="0" borderId="283" xfId="0" applyNumberFormat="1" applyFont="1" applyBorder="1" applyAlignment="1">
      <alignment vertical="center"/>
    </xf>
    <xf numFmtId="177" fontId="0" fillId="0" borderId="10" xfId="0" applyNumberFormat="1" applyFill="1" applyBorder="1" applyAlignment="1">
      <alignment vertical="center"/>
    </xf>
    <xf numFmtId="178" fontId="0" fillId="0" borderId="10"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41" xfId="0" applyNumberFormat="1" applyFont="1" applyBorder="1" applyAlignment="1">
      <alignment vertical="center"/>
    </xf>
    <xf numFmtId="177" fontId="0" fillId="0" borderId="40" xfId="0" applyNumberFormat="1" applyFont="1" applyBorder="1" applyAlignment="1">
      <alignment vertical="center"/>
    </xf>
    <xf numFmtId="194" fontId="0" fillId="0" borderId="243" xfId="0" applyNumberFormat="1" applyFont="1" applyFill="1" applyBorder="1" applyAlignment="1">
      <alignment vertical="center" shrinkToFit="1"/>
    </xf>
    <xf numFmtId="177" fontId="16" fillId="0" borderId="0" xfId="0" applyNumberFormat="1" applyFont="1" applyFill="1" applyAlignment="1">
      <alignment vertical="center"/>
    </xf>
    <xf numFmtId="177" fontId="0" fillId="0" borderId="256" xfId="0" applyNumberFormat="1" applyFont="1" applyFill="1" applyBorder="1" applyAlignment="1">
      <alignment horizontal="center" vertical="center" shrinkToFit="1"/>
    </xf>
    <xf numFmtId="177" fontId="0" fillId="0" borderId="193" xfId="0" applyNumberFormat="1" applyFont="1" applyBorder="1" applyAlignment="1">
      <alignment horizontal="center" vertical="center" shrinkToFit="1"/>
    </xf>
    <xf numFmtId="177" fontId="0" fillId="0" borderId="193" xfId="0" applyNumberFormat="1" applyFont="1" applyBorder="1" applyAlignment="1">
      <alignment vertical="center"/>
    </xf>
    <xf numFmtId="177" fontId="0" fillId="0" borderId="194" xfId="0" applyNumberFormat="1" applyFont="1" applyBorder="1" applyAlignment="1">
      <alignment horizontal="center" vertical="center"/>
    </xf>
    <xf numFmtId="177" fontId="0" fillId="0" borderId="194" xfId="0" applyNumberFormat="1" applyFont="1" applyBorder="1" applyAlignment="1">
      <alignment vertical="center"/>
    </xf>
    <xf numFmtId="177" fontId="0" fillId="0" borderId="286" xfId="0" applyNumberFormat="1" applyFont="1" applyBorder="1" applyAlignment="1">
      <alignment vertical="center"/>
    </xf>
    <xf numFmtId="177" fontId="0" fillId="0" borderId="287" xfId="0" applyNumberFormat="1" applyFont="1" applyFill="1" applyBorder="1" applyAlignment="1">
      <alignment vertical="center"/>
    </xf>
    <xf numFmtId="177" fontId="0" fillId="0" borderId="288" xfId="0" applyNumberFormat="1" applyFont="1" applyFill="1" applyBorder="1" applyAlignment="1">
      <alignment vertical="center"/>
    </xf>
    <xf numFmtId="177" fontId="0" fillId="0" borderId="288" xfId="0" applyNumberFormat="1" applyFont="1" applyBorder="1" applyAlignment="1">
      <alignment vertical="center"/>
    </xf>
    <xf numFmtId="186" fontId="0" fillId="0" borderId="288" xfId="0" applyNumberFormat="1" applyFont="1" applyBorder="1" applyAlignment="1">
      <alignment vertical="center"/>
    </xf>
    <xf numFmtId="177" fontId="0" fillId="0" borderId="287" xfId="0" applyNumberFormat="1" applyBorder="1" applyAlignment="1">
      <alignment vertical="center"/>
    </xf>
    <xf numFmtId="177" fontId="0" fillId="0" borderId="287" xfId="0" applyNumberFormat="1" applyFont="1" applyBorder="1" applyAlignment="1">
      <alignment vertical="center"/>
    </xf>
    <xf numFmtId="187" fontId="0" fillId="0" borderId="288" xfId="0" applyNumberFormat="1" applyFont="1" applyFill="1" applyBorder="1" applyAlignment="1">
      <alignment vertical="center"/>
    </xf>
    <xf numFmtId="0" fontId="0" fillId="0" borderId="287" xfId="3" applyFont="1" applyFill="1" applyBorder="1" applyAlignment="1">
      <alignment vertical="center" shrinkToFit="1"/>
    </xf>
    <xf numFmtId="187" fontId="0" fillId="0" borderId="287" xfId="0" applyNumberFormat="1" applyFont="1" applyFill="1" applyBorder="1" applyAlignment="1">
      <alignment vertical="center"/>
    </xf>
    <xf numFmtId="178" fontId="0" fillId="0" borderId="287" xfId="0" applyNumberFormat="1" applyFont="1" applyFill="1" applyBorder="1" applyAlignment="1">
      <alignment horizontal="left" vertical="center"/>
    </xf>
    <xf numFmtId="177" fontId="0" fillId="0" borderId="289" xfId="0" applyNumberFormat="1" applyFont="1" applyBorder="1" applyAlignment="1">
      <alignment vertical="center"/>
    </xf>
    <xf numFmtId="188" fontId="0" fillId="0" borderId="270" xfId="3" applyNumberFormat="1" applyFont="1" applyBorder="1" applyAlignment="1">
      <alignment vertical="center"/>
    </xf>
    <xf numFmtId="177" fontId="0" fillId="0" borderId="290" xfId="3" applyNumberFormat="1" applyFont="1" applyBorder="1" applyAlignment="1">
      <alignment vertical="center"/>
    </xf>
    <xf numFmtId="177" fontId="0" fillId="0" borderId="291" xfId="3" applyNumberFormat="1" applyFont="1" applyBorder="1" applyAlignment="1">
      <alignment vertical="center"/>
    </xf>
    <xf numFmtId="177" fontId="0" fillId="0" borderId="206" xfId="0" applyNumberFormat="1" applyFill="1" applyBorder="1" applyAlignment="1">
      <alignment vertical="center" shrinkToFit="1"/>
    </xf>
    <xf numFmtId="177" fontId="0" fillId="0" borderId="25" xfId="0" applyNumberFormat="1" applyFont="1" applyFill="1" applyBorder="1" applyAlignment="1">
      <alignment vertical="center" shrinkToFit="1"/>
    </xf>
    <xf numFmtId="177" fontId="0" fillId="0" borderId="116" xfId="0" applyNumberFormat="1" applyFont="1" applyFill="1" applyBorder="1" applyAlignment="1">
      <alignment vertical="center"/>
    </xf>
    <xf numFmtId="177" fontId="0" fillId="0" borderId="23" xfId="0" applyNumberFormat="1" applyFont="1" applyFill="1" applyBorder="1" applyAlignment="1">
      <alignment vertical="center"/>
    </xf>
    <xf numFmtId="177" fontId="0" fillId="0" borderId="14" xfId="0" applyNumberFormat="1" applyFill="1" applyBorder="1" applyAlignment="1">
      <alignment vertical="center"/>
    </xf>
    <xf numFmtId="176" fontId="0" fillId="0" borderId="292" xfId="0" applyNumberFormat="1" applyFont="1" applyBorder="1" applyAlignment="1">
      <alignment vertical="center" shrinkToFit="1"/>
    </xf>
    <xf numFmtId="183" fontId="0" fillId="0" borderId="292" xfId="0" applyNumberFormat="1" applyFont="1" applyBorder="1" applyAlignment="1">
      <alignment vertical="center" shrinkToFit="1"/>
    </xf>
    <xf numFmtId="183" fontId="0" fillId="0" borderId="10" xfId="0" applyNumberFormat="1" applyFont="1" applyBorder="1" applyAlignment="1">
      <alignment vertical="center" shrinkToFit="1"/>
    </xf>
    <xf numFmtId="176" fontId="0" fillId="0" borderId="293" xfId="0" applyNumberFormat="1" applyFont="1" applyBorder="1" applyAlignment="1">
      <alignment vertical="center" shrinkToFit="1"/>
    </xf>
    <xf numFmtId="179" fontId="0" fillId="0" borderId="294" xfId="0" applyNumberFormat="1" applyFont="1" applyBorder="1" applyAlignment="1">
      <alignment horizontal="center" vertical="center" shrinkToFit="1"/>
    </xf>
    <xf numFmtId="176" fontId="16" fillId="0" borderId="0" xfId="0" applyNumberFormat="1" applyFont="1" applyAlignment="1">
      <alignment vertical="center"/>
    </xf>
    <xf numFmtId="179" fontId="0" fillId="0" borderId="63" xfId="0" applyNumberFormat="1" applyFont="1" applyBorder="1" applyAlignment="1">
      <alignment vertical="center"/>
    </xf>
    <xf numFmtId="177" fontId="0" fillId="2" borderId="222" xfId="0" applyNumberFormat="1" applyFont="1" applyFill="1" applyBorder="1" applyAlignment="1">
      <alignment vertical="center" shrinkToFit="1"/>
    </xf>
    <xf numFmtId="176" fontId="0" fillId="2" borderId="224" xfId="0" applyNumberFormat="1" applyFont="1" applyFill="1" applyBorder="1" applyAlignment="1">
      <alignment vertical="center" shrinkToFit="1"/>
    </xf>
    <xf numFmtId="183" fontId="0" fillId="0" borderId="141" xfId="0" applyNumberFormat="1" applyFont="1" applyFill="1" applyBorder="1" applyAlignment="1">
      <alignment vertical="center" shrinkToFit="1"/>
    </xf>
    <xf numFmtId="176" fontId="0" fillId="0" borderId="2" xfId="0" applyNumberFormat="1" applyFont="1" applyFill="1" applyBorder="1" applyAlignment="1">
      <alignment vertical="center" shrinkToFit="1"/>
    </xf>
    <xf numFmtId="176" fontId="16" fillId="0" borderId="247" xfId="0" applyNumberFormat="1" applyFont="1" applyBorder="1" applyAlignment="1">
      <alignment vertical="center" shrinkToFit="1"/>
    </xf>
    <xf numFmtId="177" fontId="0" fillId="0" borderId="297" xfId="0" applyNumberFormat="1" applyFill="1" applyBorder="1" applyAlignment="1">
      <alignment horizontal="left" vertical="center"/>
    </xf>
    <xf numFmtId="177" fontId="0" fillId="0" borderId="298" xfId="0" applyNumberFormat="1" applyFill="1" applyBorder="1" applyAlignment="1">
      <alignment horizontal="left" vertical="center"/>
    </xf>
    <xf numFmtId="177" fontId="0" fillId="0" borderId="299" xfId="0" applyNumberFormat="1" applyFill="1" applyBorder="1" applyAlignment="1">
      <alignment horizontal="left" vertical="center"/>
    </xf>
    <xf numFmtId="177" fontId="0" fillId="0" borderId="141" xfId="0" applyNumberFormat="1" applyFill="1" applyBorder="1" applyAlignment="1">
      <alignment horizontal="left" vertical="center"/>
    </xf>
    <xf numFmtId="177" fontId="0" fillId="0" borderId="145" xfId="0" applyNumberFormat="1" applyFont="1" applyFill="1" applyBorder="1" applyAlignment="1">
      <alignment horizontal="left" vertical="center"/>
    </xf>
    <xf numFmtId="177" fontId="0" fillId="0" borderId="146" xfId="0" applyNumberFormat="1" applyFont="1" applyFill="1" applyBorder="1" applyAlignment="1">
      <alignment horizontal="left" vertical="center"/>
    </xf>
    <xf numFmtId="0" fontId="7" fillId="0" borderId="88" xfId="2" applyFont="1" applyBorder="1" applyAlignment="1">
      <alignment vertical="top" wrapText="1"/>
    </xf>
    <xf numFmtId="0" fontId="7" fillId="0" borderId="208" xfId="2" applyFont="1" applyBorder="1" applyAlignment="1">
      <alignment vertical="top" wrapText="1"/>
    </xf>
    <xf numFmtId="0" fontId="7" fillId="0" borderId="222" xfId="2" applyFont="1" applyBorder="1" applyAlignment="1">
      <alignment horizontal="left" vertical="top" wrapText="1"/>
    </xf>
    <xf numFmtId="0" fontId="0" fillId="0" borderId="222" xfId="2" applyFont="1" applyBorder="1" applyAlignment="1">
      <alignment horizontal="left" vertical="top" wrapText="1"/>
    </xf>
    <xf numFmtId="0" fontId="1" fillId="0" borderId="224" xfId="2" applyFont="1" applyBorder="1" applyAlignment="1">
      <alignment horizontal="center" vertical="top" wrapText="1"/>
    </xf>
    <xf numFmtId="0" fontId="7" fillId="0" borderId="88" xfId="2" applyFont="1" applyFill="1" applyBorder="1" applyAlignment="1">
      <alignment horizontal="left" vertical="top" wrapText="1"/>
    </xf>
    <xf numFmtId="0" fontId="7" fillId="0" borderId="208" xfId="2" applyFont="1" applyBorder="1" applyAlignment="1">
      <alignment horizontal="left" vertical="top" wrapText="1"/>
    </xf>
    <xf numFmtId="0" fontId="1" fillId="0" borderId="224" xfId="2" applyFont="1" applyBorder="1" applyAlignment="1">
      <alignment horizontal="left" vertical="top" wrapText="1"/>
    </xf>
    <xf numFmtId="0" fontId="7" fillId="0" borderId="88" xfId="2" applyFont="1" applyBorder="1" applyAlignment="1">
      <alignment horizontal="left" vertical="top" wrapText="1"/>
    </xf>
    <xf numFmtId="0" fontId="0" fillId="0" borderId="224" xfId="2" applyFont="1" applyBorder="1" applyAlignment="1">
      <alignment horizontal="left" vertical="top" wrapText="1"/>
    </xf>
    <xf numFmtId="0" fontId="7" fillId="0" borderId="163" xfId="2" applyFont="1" applyBorder="1" applyAlignment="1">
      <alignment horizontal="left" vertical="top" wrapText="1"/>
    </xf>
    <xf numFmtId="0" fontId="0" fillId="0" borderId="165" xfId="2" applyFont="1" applyBorder="1" applyAlignment="1">
      <alignment horizontal="left" vertical="top" wrapText="1"/>
    </xf>
    <xf numFmtId="0" fontId="0" fillId="0" borderId="125" xfId="2" applyFont="1" applyBorder="1" applyAlignment="1">
      <alignment horizontal="left" vertical="top" wrapText="1"/>
    </xf>
    <xf numFmtId="0" fontId="7" fillId="0" borderId="165" xfId="2" applyFont="1" applyBorder="1" applyAlignment="1">
      <alignment horizontal="left" vertical="top" wrapText="1"/>
    </xf>
    <xf numFmtId="176" fontId="16" fillId="0" borderId="243" xfId="0" applyNumberFormat="1" applyFont="1" applyBorder="1" applyAlignment="1">
      <alignment vertical="center" shrinkToFit="1"/>
    </xf>
    <xf numFmtId="182" fontId="16" fillId="0" borderId="243" xfId="4" applyNumberFormat="1" applyFont="1" applyBorder="1" applyAlignment="1">
      <alignment vertical="center" shrinkToFit="1"/>
    </xf>
    <xf numFmtId="9" fontId="16" fillId="0" borderId="243" xfId="0" applyNumberFormat="1" applyFont="1" applyFill="1" applyBorder="1" applyAlignment="1">
      <alignment vertical="center" shrinkToFit="1"/>
    </xf>
    <xf numFmtId="176" fontId="16" fillId="0" borderId="243" xfId="0" applyNumberFormat="1" applyFont="1" applyFill="1" applyBorder="1" applyAlignment="1">
      <alignment vertical="center" shrinkToFit="1"/>
    </xf>
    <xf numFmtId="176" fontId="16" fillId="0" borderId="244" xfId="0" applyNumberFormat="1" applyFont="1" applyBorder="1" applyAlignment="1">
      <alignment vertical="center" shrinkToFit="1"/>
    </xf>
    <xf numFmtId="9" fontId="16" fillId="0" borderId="243" xfId="0" applyNumberFormat="1" applyFont="1" applyBorder="1" applyAlignment="1">
      <alignment vertical="center" shrinkToFit="1"/>
    </xf>
    <xf numFmtId="9" fontId="16" fillId="0" borderId="243" xfId="4" applyFont="1" applyBorder="1" applyAlignment="1">
      <alignment vertical="center" shrinkToFit="1"/>
    </xf>
    <xf numFmtId="0" fontId="7" fillId="0" borderId="16" xfId="2" applyFont="1" applyBorder="1" applyAlignment="1">
      <alignment horizontal="right" vertical="center" wrapText="1"/>
    </xf>
    <xf numFmtId="0" fontId="1" fillId="0" borderId="243" xfId="2" applyFont="1" applyBorder="1" applyAlignment="1">
      <alignment horizontal="center" vertical="center" wrapText="1"/>
    </xf>
    <xf numFmtId="0" fontId="1" fillId="0" borderId="256" xfId="2" applyFont="1" applyBorder="1" applyAlignment="1">
      <alignment horizontal="center" vertical="center" wrapText="1"/>
    </xf>
    <xf numFmtId="0" fontId="1" fillId="0" borderId="301" xfId="2" applyFont="1" applyBorder="1" applyAlignment="1">
      <alignment horizontal="center" vertical="center" wrapText="1"/>
    </xf>
    <xf numFmtId="0" fontId="1" fillId="0" borderId="302" xfId="2" applyFont="1" applyBorder="1" applyAlignment="1">
      <alignment horizontal="center" vertical="center" wrapText="1"/>
    </xf>
    <xf numFmtId="0" fontId="1" fillId="0" borderId="303" xfId="2" applyFont="1" applyBorder="1" applyAlignment="1">
      <alignment horizontal="center" vertical="center" wrapText="1"/>
    </xf>
    <xf numFmtId="0" fontId="1" fillId="0" borderId="255" xfId="2" applyFont="1" applyBorder="1" applyAlignment="1">
      <alignment horizontal="center" vertical="center" wrapText="1"/>
    </xf>
    <xf numFmtId="0" fontId="7" fillId="0" borderId="306" xfId="2" applyFont="1" applyBorder="1" applyAlignment="1">
      <alignment horizontal="right" vertical="center" wrapText="1"/>
    </xf>
    <xf numFmtId="0" fontId="1" fillId="0" borderId="304" xfId="2" applyFont="1" applyBorder="1" applyAlignment="1">
      <alignment horizontal="center" vertical="center" wrapText="1"/>
    </xf>
    <xf numFmtId="0" fontId="1" fillId="0" borderId="305" xfId="2" applyFont="1" applyBorder="1" applyAlignment="1">
      <alignment horizontal="center" vertical="center" wrapText="1"/>
    </xf>
    <xf numFmtId="0" fontId="1" fillId="0" borderId="307" xfId="2" applyFont="1" applyBorder="1" applyAlignment="1">
      <alignment horizontal="center" vertical="center" wrapText="1"/>
    </xf>
    <xf numFmtId="0" fontId="1" fillId="0" borderId="308" xfId="2" applyFont="1" applyBorder="1" applyAlignment="1">
      <alignment horizontal="center" vertical="center" wrapText="1"/>
    </xf>
    <xf numFmtId="0" fontId="0" fillId="0" borderId="304" xfId="2" applyFont="1" applyBorder="1" applyAlignment="1">
      <alignment horizontal="center" vertical="center" wrapText="1"/>
    </xf>
    <xf numFmtId="0" fontId="0" fillId="0" borderId="309" xfId="2" applyFont="1" applyBorder="1" applyAlignment="1">
      <alignment horizontal="center" vertical="center" wrapText="1"/>
    </xf>
    <xf numFmtId="0" fontId="1" fillId="0" borderId="309" xfId="2" applyFont="1" applyBorder="1" applyAlignment="1">
      <alignment horizontal="center" vertical="center" wrapText="1"/>
    </xf>
    <xf numFmtId="0" fontId="1" fillId="0" borderId="310" xfId="2" applyFont="1" applyBorder="1" applyAlignment="1">
      <alignment horizontal="center" vertical="center" wrapText="1"/>
    </xf>
    <xf numFmtId="0" fontId="7" fillId="0" borderId="279" xfId="2" applyFont="1" applyBorder="1" applyAlignment="1">
      <alignment horizontal="right" vertical="center" wrapText="1"/>
    </xf>
    <xf numFmtId="177" fontId="0" fillId="0" borderId="243" xfId="0" applyNumberFormat="1" applyFill="1" applyBorder="1" applyAlignment="1">
      <alignment horizontal="right" vertical="center"/>
    </xf>
    <xf numFmtId="182" fontId="0" fillId="0" borderId="256" xfId="0" applyNumberFormat="1" applyFont="1" applyFill="1" applyBorder="1" applyAlignment="1">
      <alignment horizontal="left" vertical="center"/>
    </xf>
    <xf numFmtId="177" fontId="1" fillId="0" borderId="243" xfId="0" applyNumberFormat="1" applyFont="1" applyFill="1" applyBorder="1" applyAlignment="1">
      <alignment horizontal="right" vertical="center"/>
    </xf>
    <xf numFmtId="177" fontId="0" fillId="0" borderId="141" xfId="0" applyNumberFormat="1" applyFont="1" applyFill="1" applyBorder="1" applyAlignment="1">
      <alignment horizontal="right" vertical="center"/>
    </xf>
    <xf numFmtId="182" fontId="0" fillId="0" borderId="145" xfId="0" applyNumberFormat="1" applyFont="1" applyFill="1" applyBorder="1" applyAlignment="1">
      <alignment horizontal="left" vertical="center"/>
    </xf>
    <xf numFmtId="177" fontId="0" fillId="0" borderId="163" xfId="0" applyNumberFormat="1" applyFont="1" applyFill="1" applyBorder="1" applyAlignment="1">
      <alignment vertical="center"/>
    </xf>
    <xf numFmtId="177" fontId="0" fillId="0" borderId="163" xfId="0" quotePrefix="1" applyNumberFormat="1" applyFill="1" applyBorder="1" applyAlignment="1">
      <alignment vertical="center"/>
    </xf>
    <xf numFmtId="3" fontId="0" fillId="0" borderId="219" xfId="0" applyNumberFormat="1" applyFont="1" applyFill="1" applyBorder="1" applyAlignment="1">
      <alignment vertical="center"/>
    </xf>
    <xf numFmtId="3" fontId="0" fillId="0" borderId="225" xfId="0" applyNumberFormat="1" applyFont="1" applyFill="1" applyBorder="1" applyAlignment="1">
      <alignment vertical="center"/>
    </xf>
    <xf numFmtId="0" fontId="1" fillId="0" borderId="49" xfId="2" applyFont="1" applyBorder="1" applyAlignment="1">
      <alignment vertical="center" wrapText="1"/>
    </xf>
    <xf numFmtId="0" fontId="1" fillId="0" borderId="65" xfId="2" applyFont="1" applyBorder="1" applyAlignment="1">
      <alignment vertical="center" wrapText="1"/>
    </xf>
    <xf numFmtId="0" fontId="1" fillId="0" borderId="98" xfId="2" applyFont="1" applyBorder="1" applyAlignment="1">
      <alignment horizontal="center" vertical="center"/>
    </xf>
    <xf numFmtId="0" fontId="1" fillId="0" borderId="24" xfId="2" applyFont="1" applyBorder="1" applyAlignment="1">
      <alignment horizontal="center" vertical="center"/>
    </xf>
    <xf numFmtId="0" fontId="0" fillId="0" borderId="24" xfId="2" applyFont="1" applyBorder="1" applyAlignment="1">
      <alignment vertical="center" wrapText="1"/>
    </xf>
    <xf numFmtId="0" fontId="1" fillId="0" borderId="24" xfId="2" applyFont="1" applyBorder="1" applyAlignment="1">
      <alignment vertical="center" wrapText="1"/>
    </xf>
    <xf numFmtId="0" fontId="1" fillId="0" borderId="63" xfId="2" applyFont="1" applyBorder="1" applyAlignment="1">
      <alignment vertical="center" wrapText="1"/>
    </xf>
    <xf numFmtId="0" fontId="1" fillId="0" borderId="41" xfId="2" applyFont="1" applyBorder="1" applyAlignment="1">
      <alignment horizontal="center" vertical="center"/>
    </xf>
    <xf numFmtId="0" fontId="1" fillId="0" borderId="64" xfId="2" applyFont="1" applyBorder="1" applyAlignment="1">
      <alignment horizontal="center" vertical="center"/>
    </xf>
    <xf numFmtId="0" fontId="1" fillId="0" borderId="49" xfId="2" applyFont="1" applyBorder="1" applyAlignment="1">
      <alignment horizontal="center" vertical="center"/>
    </xf>
    <xf numFmtId="0" fontId="1" fillId="0" borderId="99" xfId="2" applyFont="1" applyBorder="1" applyAlignment="1">
      <alignment horizontal="center" vertical="center"/>
    </xf>
    <xf numFmtId="0" fontId="1" fillId="0" borderId="51" xfId="2" applyFont="1" applyBorder="1" applyAlignment="1">
      <alignment horizontal="center" vertical="center"/>
    </xf>
    <xf numFmtId="0" fontId="1" fillId="0" borderId="130" xfId="2" applyFont="1" applyBorder="1" applyAlignment="1">
      <alignment horizontal="center" vertical="center"/>
    </xf>
    <xf numFmtId="0" fontId="0" fillId="0" borderId="35" xfId="2" applyFont="1" applyBorder="1" applyAlignment="1">
      <alignment vertical="center" wrapText="1"/>
    </xf>
    <xf numFmtId="0" fontId="1" fillId="0" borderId="37" xfId="2" applyFont="1" applyBorder="1" applyAlignment="1">
      <alignment vertical="center" wrapText="1"/>
    </xf>
    <xf numFmtId="0" fontId="1" fillId="0" borderId="39" xfId="2" applyFont="1" applyBorder="1" applyAlignment="1">
      <alignment vertical="center" wrapText="1"/>
    </xf>
    <xf numFmtId="0" fontId="1" fillId="0" borderId="25" xfId="2" applyFont="1" applyBorder="1" applyAlignment="1">
      <alignment horizontal="center" vertical="center" wrapText="1"/>
    </xf>
    <xf numFmtId="0" fontId="1" fillId="0" borderId="26" xfId="2" applyFont="1" applyBorder="1" applyAlignment="1">
      <alignment horizontal="center" vertical="center" wrapText="1"/>
    </xf>
    <xf numFmtId="0" fontId="1" fillId="0" borderId="29" xfId="2" applyFont="1" applyBorder="1" applyAlignment="1">
      <alignment horizontal="center" vertical="center" wrapText="1"/>
    </xf>
    <xf numFmtId="0" fontId="7" fillId="0" borderId="0" xfId="2" applyFont="1" applyBorder="1" applyAlignment="1">
      <alignment vertical="center" wrapText="1"/>
    </xf>
    <xf numFmtId="0" fontId="1" fillId="0" borderId="19"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20" xfId="2" applyFont="1" applyBorder="1" applyAlignment="1">
      <alignment horizontal="center" vertical="center" wrapText="1"/>
    </xf>
    <xf numFmtId="0" fontId="7" fillId="0" borderId="91" xfId="2" applyFont="1" applyBorder="1" applyAlignment="1">
      <alignment horizontal="center" vertical="center" wrapText="1"/>
    </xf>
    <xf numFmtId="0" fontId="7" fillId="0" borderId="92" xfId="2" applyFont="1" applyBorder="1" applyAlignment="1">
      <alignment horizontal="center" vertical="center" wrapText="1"/>
    </xf>
    <xf numFmtId="0" fontId="7" fillId="0" borderId="93" xfId="2" applyFont="1" applyBorder="1" applyAlignment="1">
      <alignment horizontal="center" vertical="center" wrapText="1"/>
    </xf>
    <xf numFmtId="0" fontId="1" fillId="0" borderId="94" xfId="2" applyFont="1" applyBorder="1" applyAlignment="1">
      <alignment horizontal="center" vertical="center"/>
    </xf>
    <xf numFmtId="0" fontId="1" fillId="0" borderId="95" xfId="2" applyFont="1" applyBorder="1" applyAlignment="1">
      <alignment horizontal="center" vertical="center"/>
    </xf>
    <xf numFmtId="0" fontId="1" fillId="0" borderId="96" xfId="2" applyFont="1" applyBorder="1" applyAlignment="1">
      <alignment horizontal="center" vertical="center"/>
    </xf>
    <xf numFmtId="0" fontId="1" fillId="0" borderId="129" xfId="2" applyFont="1" applyBorder="1" applyAlignment="1">
      <alignment horizontal="center" vertical="center"/>
    </xf>
    <xf numFmtId="0" fontId="0" fillId="0" borderId="130" xfId="2" applyFont="1" applyBorder="1" applyAlignment="1">
      <alignment vertical="center" wrapText="1"/>
    </xf>
    <xf numFmtId="0" fontId="1" fillId="0" borderId="130" xfId="2" applyFont="1" applyBorder="1" applyAlignment="1">
      <alignment vertical="center" wrapText="1"/>
    </xf>
    <xf numFmtId="0" fontId="1" fillId="0" borderId="131" xfId="2" applyFont="1" applyBorder="1" applyAlignment="1">
      <alignment vertical="center" wrapText="1"/>
    </xf>
    <xf numFmtId="0" fontId="7" fillId="0" borderId="61"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10" xfId="2" applyFont="1" applyBorder="1" applyAlignment="1">
      <alignment horizontal="left" vertical="center" indent="1"/>
    </xf>
    <xf numFmtId="0" fontId="7" fillId="0" borderId="0" xfId="2" applyFont="1" applyBorder="1" applyAlignment="1">
      <alignment horizontal="left" vertical="center" indent="1"/>
    </xf>
    <xf numFmtId="0" fontId="1" fillId="0" borderId="36" xfId="2" applyFont="1" applyBorder="1" applyAlignment="1">
      <alignment horizontal="center" vertical="center"/>
    </xf>
    <xf numFmtId="0" fontId="1" fillId="0" borderId="264" xfId="2" applyFont="1" applyBorder="1" applyAlignment="1">
      <alignment horizontal="center" vertical="center"/>
    </xf>
    <xf numFmtId="0" fontId="1" fillId="0" borderId="265" xfId="2" applyFont="1" applyBorder="1" applyAlignment="1">
      <alignment horizontal="center" vertical="center"/>
    </xf>
    <xf numFmtId="0" fontId="1" fillId="0" borderId="200" xfId="2" applyFont="1" applyBorder="1" applyAlignment="1">
      <alignment horizontal="center" vertical="center"/>
    </xf>
    <xf numFmtId="0" fontId="1" fillId="0" borderId="0" xfId="2" applyFont="1" applyBorder="1" applyAlignment="1">
      <alignment horizontal="center" vertical="center"/>
    </xf>
    <xf numFmtId="0" fontId="1" fillId="0" borderId="45" xfId="2" applyFont="1" applyBorder="1" applyAlignment="1">
      <alignment horizontal="center" vertical="center"/>
    </xf>
    <xf numFmtId="0" fontId="1" fillId="0" borderId="268" xfId="2" applyFont="1" applyBorder="1" applyAlignment="1">
      <alignment horizontal="center" vertical="center"/>
    </xf>
    <xf numFmtId="0" fontId="1" fillId="0" borderId="259" xfId="2" applyFont="1" applyBorder="1" applyAlignment="1">
      <alignment horizontal="center" vertical="center"/>
    </xf>
    <xf numFmtId="0" fontId="1" fillId="0" borderId="269" xfId="2" applyFont="1" applyBorder="1" applyAlignment="1">
      <alignment horizontal="center" vertical="center"/>
    </xf>
    <xf numFmtId="0" fontId="0" fillId="0" borderId="266" xfId="2" applyFont="1" applyBorder="1" applyAlignment="1">
      <alignment horizontal="left" vertical="center" wrapText="1"/>
    </xf>
    <xf numFmtId="0" fontId="1" fillId="0" borderId="264" xfId="2" applyFont="1" applyBorder="1" applyAlignment="1">
      <alignment horizontal="left" vertical="center" wrapText="1"/>
    </xf>
    <xf numFmtId="0" fontId="1" fillId="0" borderId="267" xfId="2" applyFont="1" applyBorder="1" applyAlignment="1">
      <alignment horizontal="left" vertical="center" wrapText="1"/>
    </xf>
    <xf numFmtId="0" fontId="1" fillId="0" borderId="56" xfId="2" applyFont="1" applyBorder="1" applyAlignment="1">
      <alignment horizontal="left" vertical="center" wrapText="1"/>
    </xf>
    <xf numFmtId="0" fontId="1" fillId="0" borderId="0" xfId="2" applyFont="1" applyBorder="1" applyAlignment="1">
      <alignment horizontal="left" vertical="center" wrapText="1"/>
    </xf>
    <xf numFmtId="0" fontId="1" fillId="0" borderId="199" xfId="2" applyFont="1" applyBorder="1" applyAlignment="1">
      <alignment horizontal="left" vertical="center" wrapText="1"/>
    </xf>
    <xf numFmtId="0" fontId="1" fillId="0" borderId="258" xfId="2" applyFont="1" applyBorder="1" applyAlignment="1">
      <alignment horizontal="left" vertical="center" wrapText="1"/>
    </xf>
    <xf numFmtId="0" fontId="1" fillId="0" borderId="259" xfId="2" applyFont="1" applyBorder="1" applyAlignment="1">
      <alignment horizontal="left" vertical="center" wrapText="1"/>
    </xf>
    <xf numFmtId="0" fontId="1" fillId="0" borderId="270" xfId="2" applyFont="1" applyBorder="1" applyAlignment="1">
      <alignment horizontal="left" vertical="center" wrapText="1"/>
    </xf>
    <xf numFmtId="0" fontId="0" fillId="0" borderId="56"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0" fillId="0" borderId="0" xfId="2" applyFont="1" applyFill="1" applyBorder="1" applyAlignment="1">
      <alignment horizontal="left" vertical="center" shrinkToFit="1"/>
    </xf>
    <xf numFmtId="0" fontId="1" fillId="0" borderId="0" xfId="2" applyFont="1" applyFill="1" applyBorder="1" applyAlignment="1">
      <alignment horizontal="left" vertical="center" shrinkToFit="1"/>
    </xf>
    <xf numFmtId="0" fontId="1" fillId="0" borderId="0" xfId="2" applyFont="1" applyBorder="1" applyAlignment="1">
      <alignment horizontal="center" vertical="center" wrapText="1"/>
    </xf>
    <xf numFmtId="0" fontId="1" fillId="0" borderId="199" xfId="2" applyFont="1" applyBorder="1" applyAlignment="1">
      <alignment horizontal="center" vertical="center" wrapText="1"/>
    </xf>
    <xf numFmtId="0" fontId="0" fillId="0" borderId="0" xfId="2" applyFont="1" applyFill="1" applyBorder="1" applyAlignment="1">
      <alignment horizontal="left" vertical="center" wrapText="1"/>
    </xf>
    <xf numFmtId="0" fontId="7" fillId="0" borderId="5" xfId="2" applyFont="1" applyBorder="1" applyAlignment="1">
      <alignment horizontal="center" vertical="center" wrapText="1"/>
    </xf>
    <xf numFmtId="0" fontId="7" fillId="0" borderId="4"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89" xfId="2" applyFont="1" applyBorder="1" applyAlignment="1">
      <alignment horizontal="center" vertical="center" wrapText="1"/>
    </xf>
    <xf numFmtId="0" fontId="7" fillId="0" borderId="90"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6" xfId="2" applyFont="1" applyBorder="1" applyAlignment="1">
      <alignment horizontal="center" vertical="center" wrapText="1"/>
    </xf>
    <xf numFmtId="0" fontId="7" fillId="0" borderId="304" xfId="2" applyFont="1" applyBorder="1" applyAlignment="1">
      <alignment horizontal="left" vertical="center" wrapText="1" indent="1"/>
    </xf>
    <xf numFmtId="0" fontId="7" fillId="0" borderId="305" xfId="2" applyFont="1" applyBorder="1" applyAlignment="1">
      <alignment horizontal="left" vertical="center" wrapText="1" inden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1" fillId="0" borderId="13" xfId="2" applyFont="1" applyBorder="1" applyAlignment="1">
      <alignment horizontal="left" vertical="center" wrapText="1"/>
    </xf>
    <xf numFmtId="0" fontId="1" fillId="0" borderId="14" xfId="2" applyFont="1" applyBorder="1" applyAlignment="1">
      <alignment horizontal="left" vertical="center" wrapText="1"/>
    </xf>
    <xf numFmtId="0" fontId="1" fillId="0" borderId="52" xfId="2" applyFont="1" applyBorder="1" applyAlignment="1">
      <alignment horizontal="left" vertical="center" wrapText="1"/>
    </xf>
    <xf numFmtId="0" fontId="7" fillId="0" borderId="163" xfId="2" applyFont="1" applyBorder="1" applyAlignment="1">
      <alignment vertical="center" wrapText="1"/>
    </xf>
    <xf numFmtId="0" fontId="7" fillId="0" borderId="170" xfId="2" applyFont="1" applyBorder="1" applyAlignment="1">
      <alignment vertical="center" wrapText="1"/>
    </xf>
    <xf numFmtId="0" fontId="7" fillId="0" borderId="52" xfId="2" applyFont="1" applyBorder="1" applyAlignment="1">
      <alignment vertical="center" wrapText="1"/>
    </xf>
    <xf numFmtId="0" fontId="7" fillId="0" borderId="163" xfId="2" applyFont="1" applyBorder="1" applyAlignment="1">
      <alignment horizontal="center" vertical="center" wrapText="1"/>
    </xf>
    <xf numFmtId="0" fontId="7" fillId="0" borderId="170"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87" xfId="2" applyFont="1" applyBorder="1" applyAlignment="1">
      <alignment horizontal="center" vertical="center" wrapText="1"/>
    </xf>
    <xf numFmtId="0" fontId="7" fillId="0" borderId="88" xfId="2" applyFont="1" applyBorder="1" applyAlignment="1">
      <alignment horizontal="center" vertical="center" wrapText="1"/>
    </xf>
    <xf numFmtId="0" fontId="1" fillId="0" borderId="88" xfId="2" applyFont="1" applyBorder="1" applyAlignment="1">
      <alignment horizontal="center" vertical="center" wrapText="1"/>
    </xf>
    <xf numFmtId="0" fontId="1" fillId="0" borderId="13" xfId="2" applyFont="1" applyBorder="1" applyAlignment="1">
      <alignment horizontal="center" vertical="center" wrapText="1"/>
    </xf>
    <xf numFmtId="0" fontId="7" fillId="0" borderId="16" xfId="2" applyFont="1" applyBorder="1" applyAlignment="1">
      <alignment horizontal="center" vertical="center" wrapText="1"/>
    </xf>
    <xf numFmtId="0" fontId="1" fillId="0" borderId="16" xfId="2" applyFont="1" applyBorder="1" applyAlignment="1">
      <alignment horizontal="center" vertical="center" wrapText="1"/>
    </xf>
    <xf numFmtId="0" fontId="1" fillId="0" borderId="10" xfId="2" applyFont="1" applyBorder="1" applyAlignment="1">
      <alignment horizontal="center" vertical="center" wrapText="1"/>
    </xf>
    <xf numFmtId="0" fontId="7" fillId="0" borderId="19" xfId="2" applyFont="1" applyBorder="1" applyAlignment="1">
      <alignment vertical="center" wrapText="1"/>
    </xf>
    <xf numFmtId="0" fontId="7" fillId="0" borderId="18" xfId="2" applyFont="1" applyBorder="1" applyAlignment="1">
      <alignment vertical="center" wrapText="1"/>
    </xf>
    <xf numFmtId="0" fontId="7" fillId="0" borderId="262" xfId="2" applyFont="1" applyBorder="1" applyAlignment="1">
      <alignment horizontal="center" vertical="center" textRotation="255" shrinkToFit="1"/>
    </xf>
    <xf numFmtId="0" fontId="7" fillId="0" borderId="59" xfId="2" applyFont="1" applyBorder="1" applyAlignment="1">
      <alignment horizontal="center" vertical="center" textRotation="255" shrinkToFit="1"/>
    </xf>
    <xf numFmtId="0" fontId="7" fillId="0" borderId="263" xfId="2" applyFont="1" applyBorder="1" applyAlignment="1">
      <alignment horizontal="center" vertical="center" textRotation="255" shrinkToFit="1"/>
    </xf>
    <xf numFmtId="0" fontId="7" fillId="0" borderId="304" xfId="2" applyFont="1" applyBorder="1" applyAlignment="1">
      <alignment horizontal="left" vertical="center" indent="1" shrinkToFit="1"/>
    </xf>
    <xf numFmtId="0" fontId="7" fillId="0" borderId="305" xfId="2" applyFont="1" applyBorder="1" applyAlignment="1">
      <alignment horizontal="left" vertical="center" indent="1" shrinkToFit="1"/>
    </xf>
    <xf numFmtId="0" fontId="7" fillId="0" borderId="307" xfId="2" applyFont="1" applyBorder="1" applyAlignment="1">
      <alignment horizontal="left" vertical="center" indent="1" shrinkToFit="1"/>
    </xf>
    <xf numFmtId="0" fontId="7" fillId="0" borderId="243" xfId="2" applyFont="1" applyBorder="1" applyAlignment="1">
      <alignment horizontal="left" vertical="center" indent="1" shrinkToFit="1"/>
    </xf>
    <xf numFmtId="0" fontId="7" fillId="0" borderId="256" xfId="2" applyFont="1" applyBorder="1" applyAlignment="1">
      <alignment horizontal="left" vertical="center" indent="1" shrinkToFit="1"/>
    </xf>
    <xf numFmtId="0" fontId="7" fillId="0" borderId="301" xfId="2" applyFont="1" applyBorder="1" applyAlignment="1">
      <alignment horizontal="left" vertical="center" indent="1" shrinkToFit="1"/>
    </xf>
    <xf numFmtId="0" fontId="1" fillId="0" borderId="10" xfId="2" applyFont="1" applyBorder="1" applyAlignment="1">
      <alignment horizontal="left" vertical="center" wrapText="1" indent="1"/>
    </xf>
    <xf numFmtId="0" fontId="1" fillId="0" borderId="0" xfId="2" applyFont="1" applyBorder="1" applyAlignment="1">
      <alignment horizontal="left" vertical="center" wrapText="1" indent="1"/>
    </xf>
    <xf numFmtId="0" fontId="1" fillId="0" borderId="19" xfId="2" applyFont="1" applyBorder="1" applyAlignment="1">
      <alignment horizontal="left" vertical="center" wrapText="1"/>
    </xf>
    <xf numFmtId="0" fontId="1" fillId="0" borderId="18" xfId="2" applyFont="1" applyBorder="1" applyAlignment="1">
      <alignment horizontal="left" vertical="center" wrapText="1"/>
    </xf>
    <xf numFmtId="0" fontId="1" fillId="0" borderId="117" xfId="2" applyFont="1" applyBorder="1" applyAlignment="1">
      <alignment horizontal="left" vertical="center" wrapText="1"/>
    </xf>
    <xf numFmtId="0" fontId="7" fillId="0" borderId="20" xfId="2" applyFont="1" applyBorder="1" applyAlignment="1">
      <alignment horizontal="center" vertical="center" wrapText="1"/>
    </xf>
    <xf numFmtId="0" fontId="7" fillId="0" borderId="10" xfId="2" applyFont="1" applyBorder="1" applyAlignment="1">
      <alignment horizontal="left" vertical="center" wrapText="1"/>
    </xf>
    <xf numFmtId="0" fontId="7" fillId="0" borderId="0" xfId="2" applyFont="1" applyBorder="1" applyAlignment="1">
      <alignment horizontal="left" vertical="center" wrapText="1"/>
    </xf>
    <xf numFmtId="0" fontId="7" fillId="0" borderId="82" xfId="2" applyFont="1" applyBorder="1" applyAlignment="1">
      <alignment horizontal="left" vertical="center" wrapText="1"/>
    </xf>
    <xf numFmtId="0" fontId="7" fillId="0" borderId="0"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10" xfId="2" applyFont="1" applyBorder="1" applyAlignment="1">
      <alignment vertical="center" wrapText="1"/>
    </xf>
    <xf numFmtId="0" fontId="7" fillId="0" borderId="25" xfId="2" applyFont="1" applyBorder="1" applyAlignment="1">
      <alignment horizontal="center" vertical="center" wrapText="1"/>
    </xf>
    <xf numFmtId="0" fontId="7" fillId="0" borderId="26" xfId="2" applyFont="1" applyBorder="1" applyAlignment="1">
      <alignment horizontal="center" vertical="center" wrapText="1"/>
    </xf>
    <xf numFmtId="0" fontId="7" fillId="0" borderId="116" xfId="2" applyFont="1" applyBorder="1" applyAlignment="1">
      <alignment horizontal="center" vertical="center" wrapText="1"/>
    </xf>
    <xf numFmtId="192" fontId="7" fillId="0" borderId="25" xfId="2" applyNumberFormat="1" applyFont="1" applyBorder="1" applyAlignment="1">
      <alignment horizontal="center" vertical="center" wrapText="1"/>
    </xf>
    <xf numFmtId="192" fontId="7" fillId="0" borderId="26" xfId="2" applyNumberFormat="1" applyFont="1" applyBorder="1" applyAlignment="1">
      <alignment horizontal="center" vertical="center" wrapText="1"/>
    </xf>
    <xf numFmtId="192" fontId="7" fillId="0" borderId="116" xfId="2" applyNumberFormat="1" applyFont="1" applyBorder="1" applyAlignment="1">
      <alignment horizontal="center" vertical="center" wrapText="1"/>
    </xf>
    <xf numFmtId="0" fontId="7" fillId="0" borderId="172" xfId="0" applyFont="1" applyBorder="1" applyAlignment="1">
      <alignment horizontal="center" vertical="center" shrinkToFit="1"/>
    </xf>
    <xf numFmtId="0" fontId="7" fillId="0" borderId="174" xfId="0" applyFont="1" applyBorder="1" applyAlignment="1">
      <alignment horizontal="center" vertical="center" shrinkToFit="1"/>
    </xf>
    <xf numFmtId="0" fontId="7" fillId="0" borderId="172" xfId="0" applyFont="1" applyBorder="1" applyAlignment="1">
      <alignment horizontal="left" vertical="center" wrapText="1" shrinkToFit="1"/>
    </xf>
    <xf numFmtId="0" fontId="7" fillId="0" borderId="173" xfId="0" applyFont="1" applyBorder="1" applyAlignment="1">
      <alignment horizontal="left" vertical="center" shrinkToFit="1"/>
    </xf>
    <xf numFmtId="0" fontId="7" fillId="0" borderId="174" xfId="0" applyFont="1" applyBorder="1" applyAlignment="1">
      <alignment horizontal="left" vertical="center" shrinkToFit="1"/>
    </xf>
    <xf numFmtId="0" fontId="7" fillId="0" borderId="3" xfId="2" applyFont="1" applyBorder="1" applyAlignment="1">
      <alignment horizontal="center" vertical="center" wrapText="1"/>
    </xf>
    <xf numFmtId="0" fontId="7" fillId="0" borderId="5" xfId="2" applyFont="1" applyBorder="1" applyAlignment="1">
      <alignment vertical="center" wrapText="1"/>
    </xf>
    <xf numFmtId="0" fontId="7" fillId="0" borderId="4" xfId="2" applyFont="1" applyBorder="1" applyAlignment="1">
      <alignment vertical="center" wrapText="1"/>
    </xf>
    <xf numFmtId="0" fontId="7" fillId="0" borderId="86" xfId="2" applyFont="1" applyBorder="1" applyAlignment="1">
      <alignment vertical="center" wrapText="1"/>
    </xf>
    <xf numFmtId="0" fontId="7" fillId="0" borderId="100" xfId="0" quotePrefix="1"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01" xfId="0" applyFont="1" applyBorder="1" applyAlignment="1">
      <alignment horizontal="center" vertical="center" shrinkToFit="1"/>
    </xf>
    <xf numFmtId="0" fontId="1" fillId="0" borderId="102" xfId="0" applyFont="1" applyBorder="1" applyAlignment="1">
      <alignment horizontal="center" vertical="center" shrinkToFit="1"/>
    </xf>
    <xf numFmtId="0" fontId="1" fillId="0" borderId="103" xfId="0" applyFont="1" applyBorder="1" applyAlignment="1">
      <alignment horizontal="center" vertical="center" shrinkToFit="1"/>
    </xf>
    <xf numFmtId="0" fontId="1" fillId="0" borderId="104" xfId="0" applyFont="1" applyBorder="1" applyAlignment="1">
      <alignment horizontal="center" vertical="center" shrinkToFit="1"/>
    </xf>
    <xf numFmtId="0" fontId="7" fillId="0" borderId="76" xfId="0" applyFont="1" applyBorder="1" applyAlignment="1">
      <alignment horizontal="center" vertical="center" wrapText="1" shrinkToFit="1"/>
    </xf>
    <xf numFmtId="0" fontId="1" fillId="0" borderId="76" xfId="0" applyFont="1" applyBorder="1" applyAlignment="1">
      <alignment horizontal="center" vertical="center" shrinkToFit="1"/>
    </xf>
    <xf numFmtId="0" fontId="7" fillId="0" borderId="76" xfId="0" applyFont="1" applyBorder="1" applyAlignment="1">
      <alignment horizontal="center" vertical="center" shrinkToFit="1"/>
    </xf>
    <xf numFmtId="0" fontId="0" fillId="0" borderId="266" xfId="2" applyFont="1" applyFill="1" applyBorder="1" applyAlignment="1">
      <alignment horizontal="left" vertical="center" shrinkToFit="1"/>
    </xf>
    <xf numFmtId="0" fontId="1" fillId="0" borderId="264" xfId="2" applyFont="1" applyFill="1" applyBorder="1" applyAlignment="1">
      <alignment horizontal="left" vertical="center" shrinkToFit="1"/>
    </xf>
    <xf numFmtId="0" fontId="0" fillId="0" borderId="264" xfId="2" applyFont="1" applyFill="1" applyBorder="1" applyAlignment="1">
      <alignment horizontal="center" vertical="center" wrapText="1"/>
    </xf>
    <xf numFmtId="0" fontId="1" fillId="0" borderId="264" xfId="2" applyFont="1" applyFill="1" applyBorder="1" applyAlignment="1">
      <alignment horizontal="center" vertical="center" wrapText="1"/>
    </xf>
    <xf numFmtId="0" fontId="0" fillId="0" borderId="264" xfId="2" applyFont="1" applyFill="1" applyBorder="1" applyAlignment="1">
      <alignment horizontal="left" vertical="center" shrinkToFit="1"/>
    </xf>
    <xf numFmtId="0" fontId="0" fillId="0" borderId="264" xfId="2" applyFont="1" applyBorder="1" applyAlignment="1">
      <alignment horizontal="center" vertical="center" wrapText="1"/>
    </xf>
    <xf numFmtId="0" fontId="1" fillId="0" borderId="264" xfId="2" applyFont="1" applyBorder="1" applyAlignment="1">
      <alignment horizontal="center" vertical="center" wrapText="1"/>
    </xf>
    <xf numFmtId="0" fontId="1" fillId="0" borderId="267" xfId="2" applyFont="1" applyBorder="1" applyAlignment="1">
      <alignment horizontal="center" vertical="center" wrapText="1"/>
    </xf>
    <xf numFmtId="0" fontId="0" fillId="0" borderId="49" xfId="2" applyFont="1" applyBorder="1" applyAlignment="1">
      <alignment vertical="center" wrapText="1"/>
    </xf>
    <xf numFmtId="0" fontId="0" fillId="0" borderId="258" xfId="2" applyFont="1" applyFill="1" applyBorder="1" applyAlignment="1">
      <alignment horizontal="left" vertical="center" wrapText="1"/>
    </xf>
    <xf numFmtId="0" fontId="1" fillId="0" borderId="259" xfId="2" applyFont="1" applyFill="1" applyBorder="1" applyAlignment="1">
      <alignment horizontal="left" vertical="center" wrapText="1"/>
    </xf>
    <xf numFmtId="0" fontId="1" fillId="0" borderId="259" xfId="2" applyFont="1" applyFill="1" applyBorder="1" applyAlignment="1">
      <alignment horizontal="center" vertical="center" wrapText="1"/>
    </xf>
    <xf numFmtId="0" fontId="0" fillId="0" borderId="259" xfId="2" applyFont="1" applyFill="1" applyBorder="1" applyAlignment="1">
      <alignment horizontal="left" vertical="center" wrapText="1"/>
    </xf>
    <xf numFmtId="0" fontId="1" fillId="0" borderId="259" xfId="2" applyFont="1" applyBorder="1" applyAlignment="1">
      <alignment horizontal="center" vertical="center" wrapText="1"/>
    </xf>
    <xf numFmtId="0" fontId="1" fillId="0" borderId="270" xfId="2" applyFont="1" applyBorder="1" applyAlignment="1">
      <alignment horizontal="center" vertical="center" wrapText="1"/>
    </xf>
    <xf numFmtId="0" fontId="7" fillId="0" borderId="273" xfId="2" applyFont="1" applyFill="1" applyBorder="1" applyAlignment="1">
      <alignment horizontal="center" vertical="center" textRotation="255" wrapText="1"/>
    </xf>
    <xf numFmtId="0" fontId="7" fillId="0" borderId="271" xfId="2" applyFont="1" applyBorder="1" applyAlignment="1">
      <alignment horizontal="center" vertical="center" wrapText="1"/>
    </xf>
    <xf numFmtId="0" fontId="7" fillId="0" borderId="272" xfId="2" applyFont="1" applyBorder="1" applyAlignment="1">
      <alignment horizontal="center" vertical="center" wrapText="1"/>
    </xf>
    <xf numFmtId="0" fontId="1" fillId="0" borderId="274" xfId="2" applyFont="1" applyBorder="1" applyAlignment="1">
      <alignment horizontal="center" vertical="center"/>
    </xf>
    <xf numFmtId="0" fontId="1" fillId="0" borderId="275" xfId="2" applyFont="1" applyBorder="1" applyAlignment="1">
      <alignment horizontal="center" vertical="center"/>
    </xf>
    <xf numFmtId="0" fontId="0" fillId="0" borderId="202" xfId="2" applyFont="1" applyFill="1" applyBorder="1" applyAlignment="1">
      <alignment horizontal="center" vertical="center" wrapText="1"/>
    </xf>
    <xf numFmtId="0" fontId="1" fillId="0" borderId="52" xfId="2" applyFont="1" applyFill="1" applyBorder="1" applyAlignment="1">
      <alignment horizontal="center" vertical="center"/>
    </xf>
    <xf numFmtId="0" fontId="7" fillId="0" borderId="281" xfId="2" applyFont="1" applyBorder="1" applyAlignment="1">
      <alignment horizontal="center" vertical="center" wrapText="1"/>
    </xf>
    <xf numFmtId="0" fontId="7" fillId="0" borderId="204" xfId="2" applyFont="1" applyBorder="1" applyAlignment="1">
      <alignment horizontal="center" vertical="center" wrapText="1"/>
    </xf>
    <xf numFmtId="0" fontId="7" fillId="0" borderId="273" xfId="2" applyFont="1" applyBorder="1" applyAlignment="1">
      <alignment horizontal="center" vertical="center" textRotation="255" wrapText="1"/>
    </xf>
    <xf numFmtId="0" fontId="1" fillId="0" borderId="202" xfId="2" applyFont="1" applyBorder="1" applyAlignment="1">
      <alignment horizontal="center" vertical="center"/>
    </xf>
    <xf numFmtId="0" fontId="1" fillId="0" borderId="52" xfId="2" applyFont="1" applyBorder="1" applyAlignment="1">
      <alignment horizontal="center" vertical="center"/>
    </xf>
    <xf numFmtId="0" fontId="7" fillId="0" borderId="203" xfId="2" applyFont="1" applyBorder="1" applyAlignment="1">
      <alignment horizontal="center" vertical="center" wrapText="1"/>
    </xf>
    <xf numFmtId="0" fontId="7" fillId="0" borderId="87" xfId="2" applyFont="1" applyBorder="1" applyAlignment="1">
      <alignment horizontal="center" vertical="center" textRotation="255" wrapText="1"/>
    </xf>
    <xf numFmtId="0" fontId="1" fillId="0" borderId="74" xfId="2" applyFont="1" applyBorder="1" applyAlignment="1">
      <alignment horizontal="center" vertical="center"/>
    </xf>
    <xf numFmtId="0" fontId="1" fillId="0" borderId="83" xfId="2" applyFont="1" applyBorder="1" applyAlignment="1">
      <alignment horizontal="center" vertical="center"/>
    </xf>
    <xf numFmtId="0" fontId="1" fillId="0" borderId="84" xfId="2" applyFont="1" applyBorder="1" applyAlignment="1">
      <alignment horizontal="center" vertical="center"/>
    </xf>
    <xf numFmtId="0" fontId="0" fillId="0" borderId="36" xfId="0" applyFont="1" applyBorder="1" applyAlignment="1">
      <alignment horizontal="center" vertical="center"/>
    </xf>
    <xf numFmtId="0" fontId="0" fillId="0" borderId="108" xfId="0" applyFont="1" applyBorder="1" applyAlignment="1">
      <alignment horizontal="center" vertical="center"/>
    </xf>
    <xf numFmtId="0" fontId="0" fillId="0" borderId="46" xfId="0" applyFont="1" applyBorder="1" applyAlignment="1">
      <alignment vertical="center"/>
    </xf>
    <xf numFmtId="0" fontId="0" fillId="0" borderId="109" xfId="0" applyFont="1" applyBorder="1" applyAlignment="1">
      <alignment vertical="center"/>
    </xf>
    <xf numFmtId="180" fontId="0" fillId="0" borderId="110" xfId="1" applyNumberFormat="1" applyFont="1" applyBorder="1" applyAlignment="1">
      <alignment horizontal="center" vertical="center"/>
    </xf>
    <xf numFmtId="0" fontId="0" fillId="0" borderId="111" xfId="0" applyFont="1" applyBorder="1" applyAlignment="1">
      <alignment vertical="center"/>
    </xf>
    <xf numFmtId="0" fontId="0" fillId="0" borderId="106" xfId="0" applyFont="1" applyBorder="1" applyAlignment="1">
      <alignment horizontal="center" vertical="center" textRotation="255"/>
    </xf>
    <xf numFmtId="0" fontId="0" fillId="0" borderId="105" xfId="0" applyFont="1" applyBorder="1" applyAlignment="1">
      <alignment horizontal="center" vertical="center" textRotation="255"/>
    </xf>
    <xf numFmtId="0" fontId="0" fillId="0" borderId="107" xfId="0" applyFont="1" applyBorder="1" applyAlignment="1">
      <alignment horizontal="center" vertical="center" textRotation="255"/>
    </xf>
    <xf numFmtId="0" fontId="0" fillId="3" borderId="78" xfId="0" applyFont="1" applyFill="1" applyBorder="1" applyAlignment="1">
      <alignment horizontal="center" vertical="center"/>
    </xf>
    <xf numFmtId="0" fontId="0" fillId="0" borderId="44" xfId="0" applyFont="1" applyBorder="1" applyAlignment="1">
      <alignment horizontal="center" vertical="center"/>
    </xf>
    <xf numFmtId="0" fontId="0" fillId="0" borderId="50" xfId="0" applyFont="1" applyBorder="1" applyAlignment="1">
      <alignment horizontal="center" vertical="center"/>
    </xf>
    <xf numFmtId="0" fontId="0" fillId="3" borderId="34" xfId="0" applyFont="1" applyFill="1" applyBorder="1" applyAlignment="1">
      <alignment horizontal="center" vertical="center"/>
    </xf>
    <xf numFmtId="0" fontId="0" fillId="3" borderId="41" xfId="0" applyFont="1" applyFill="1" applyBorder="1" applyAlignment="1">
      <alignment horizontal="center" vertical="center"/>
    </xf>
    <xf numFmtId="0" fontId="0" fillId="4" borderId="42" xfId="0" applyFont="1" applyFill="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114" xfId="0" applyFont="1" applyBorder="1" applyAlignment="1">
      <alignment horizontal="center" vertical="center" textRotation="255" wrapText="1"/>
    </xf>
    <xf numFmtId="0" fontId="0" fillId="0" borderId="42" xfId="0" applyFont="1" applyBorder="1" applyAlignment="1">
      <alignment vertical="center"/>
    </xf>
    <xf numFmtId="0" fontId="0" fillId="0" borderId="50" xfId="0" applyFont="1" applyBorder="1" applyAlignment="1">
      <alignment vertical="center"/>
    </xf>
    <xf numFmtId="0" fontId="0" fillId="0" borderId="42" xfId="0" applyFont="1" applyBorder="1" applyAlignment="1">
      <alignment vertical="center" wrapText="1"/>
    </xf>
    <xf numFmtId="0" fontId="0" fillId="0" borderId="44" xfId="0" applyFont="1" applyBorder="1" applyAlignment="1">
      <alignment vertical="center"/>
    </xf>
    <xf numFmtId="0" fontId="0" fillId="0" borderId="24" xfId="0" applyFont="1" applyBorder="1" applyAlignment="1">
      <alignment vertical="center"/>
    </xf>
    <xf numFmtId="0" fontId="0" fillId="4" borderId="34" xfId="0" applyFont="1" applyFill="1" applyBorder="1" applyAlignment="1">
      <alignment horizontal="center" vertical="center"/>
    </xf>
    <xf numFmtId="0" fontId="0" fillId="4" borderId="41" xfId="0" applyFont="1" applyFill="1" applyBorder="1" applyAlignment="1">
      <alignment horizontal="center" vertical="center"/>
    </xf>
    <xf numFmtId="0" fontId="0" fillId="3" borderId="40" xfId="0" applyFont="1" applyFill="1" applyBorder="1" applyAlignment="1">
      <alignment horizontal="center" vertical="center"/>
    </xf>
    <xf numFmtId="0" fontId="0" fillId="4" borderId="42"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136" xfId="0" applyFont="1" applyFill="1" applyBorder="1" applyAlignment="1">
      <alignment horizontal="center" vertical="center" wrapText="1"/>
    </xf>
    <xf numFmtId="0" fontId="0" fillId="0" borderId="42" xfId="0" applyFont="1" applyFill="1" applyBorder="1" applyAlignment="1">
      <alignment vertical="center"/>
    </xf>
    <xf numFmtId="0" fontId="0" fillId="0" borderId="44" xfId="0" applyFont="1" applyFill="1" applyBorder="1" applyAlignment="1">
      <alignment vertical="center"/>
    </xf>
    <xf numFmtId="0" fontId="0" fillId="0" borderId="50" xfId="0" applyFont="1" applyFill="1" applyBorder="1" applyAlignment="1">
      <alignment vertical="center"/>
    </xf>
    <xf numFmtId="0" fontId="0" fillId="4" borderId="47" xfId="0" applyFont="1" applyFill="1" applyBorder="1" applyAlignment="1">
      <alignment horizontal="center" vertical="center"/>
    </xf>
    <xf numFmtId="0" fontId="0" fillId="4" borderId="64" xfId="0" applyFont="1" applyFill="1" applyBorder="1" applyAlignment="1">
      <alignment horizontal="center" vertical="center"/>
    </xf>
    <xf numFmtId="0" fontId="0" fillId="0" borderId="24" xfId="0" applyFont="1" applyFill="1" applyBorder="1" applyAlignment="1">
      <alignment vertical="center"/>
    </xf>
    <xf numFmtId="0" fontId="0" fillId="3" borderId="97" xfId="0" applyFill="1" applyBorder="1" applyAlignment="1">
      <alignment horizontal="center" vertical="center"/>
    </xf>
    <xf numFmtId="0" fontId="0" fillId="3" borderId="50" xfId="0" applyFont="1" applyFill="1" applyBorder="1" applyAlignment="1">
      <alignment horizontal="center" vertical="center"/>
    </xf>
    <xf numFmtId="0" fontId="0" fillId="3" borderId="105" xfId="0" applyFont="1" applyFill="1" applyBorder="1" applyAlignment="1">
      <alignment horizontal="center" vertical="center"/>
    </xf>
    <xf numFmtId="0" fontId="0" fillId="3" borderId="44" xfId="0" applyFont="1" applyFill="1" applyBorder="1" applyAlignment="1">
      <alignment horizontal="center" vertical="center"/>
    </xf>
    <xf numFmtId="0" fontId="0" fillId="0" borderId="46" xfId="0" applyFont="1" applyBorder="1" applyAlignment="1">
      <alignment horizontal="center" vertical="center" textRotation="255"/>
    </xf>
    <xf numFmtId="0" fontId="0" fillId="4" borderId="38"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48" xfId="0" applyFont="1" applyFill="1" applyBorder="1" applyAlignment="1">
      <alignment horizontal="center" vertical="center"/>
    </xf>
    <xf numFmtId="0" fontId="0" fillId="0" borderId="18" xfId="2" applyFont="1" applyBorder="1" applyAlignment="1">
      <alignment horizontal="center" vertical="center" shrinkToFit="1"/>
    </xf>
    <xf numFmtId="176" fontId="0" fillId="0" borderId="176" xfId="0" applyNumberFormat="1" applyFont="1" applyBorder="1" applyAlignment="1">
      <alignment horizontal="center" vertical="center"/>
    </xf>
    <xf numFmtId="176" fontId="0" fillId="0" borderId="252" xfId="0" applyNumberFormat="1" applyFont="1" applyBorder="1" applyAlignment="1">
      <alignment horizontal="center" vertical="center"/>
    </xf>
    <xf numFmtId="176" fontId="0" fillId="0" borderId="189" xfId="0" applyNumberFormat="1" applyFont="1" applyBorder="1" applyAlignment="1">
      <alignment horizontal="center" vertical="center"/>
    </xf>
    <xf numFmtId="176" fontId="0" fillId="0" borderId="178" xfId="0" applyNumberFormat="1" applyFont="1" applyBorder="1" applyAlignment="1">
      <alignment horizontal="center" vertical="center"/>
    </xf>
    <xf numFmtId="176" fontId="0" fillId="0" borderId="244" xfId="0" applyNumberFormat="1" applyFont="1" applyBorder="1" applyAlignment="1">
      <alignment horizontal="center" vertical="center"/>
    </xf>
    <xf numFmtId="176" fontId="0" fillId="0" borderId="61" xfId="0" applyNumberFormat="1" applyFont="1" applyBorder="1" applyAlignment="1">
      <alignment horizontal="center" vertical="center"/>
    </xf>
    <xf numFmtId="176" fontId="0" fillId="0" borderId="59" xfId="0" applyNumberFormat="1" applyFont="1" applyBorder="1" applyAlignment="1">
      <alignment horizontal="center" vertical="center"/>
    </xf>
    <xf numFmtId="176" fontId="0" fillId="0" borderId="263" xfId="0" applyNumberFormat="1" applyFont="1" applyBorder="1" applyAlignment="1">
      <alignment horizontal="center" vertical="center"/>
    </xf>
    <xf numFmtId="176" fontId="0" fillId="0" borderId="262" xfId="0" applyNumberFormat="1" applyFont="1" applyBorder="1" applyAlignment="1">
      <alignment horizontal="center" vertical="center"/>
    </xf>
    <xf numFmtId="176" fontId="0" fillId="0" borderId="193" xfId="0" applyNumberFormat="1" applyFont="1" applyBorder="1" applyAlignment="1">
      <alignment horizontal="center" vertical="center"/>
    </xf>
    <xf numFmtId="176" fontId="0" fillId="0" borderId="194" xfId="0" applyNumberFormat="1" applyFont="1" applyBorder="1" applyAlignment="1">
      <alignment horizontal="center" vertical="center"/>
    </xf>
    <xf numFmtId="176" fontId="0" fillId="0" borderId="195" xfId="0" applyNumberFormat="1" applyFont="1" applyBorder="1" applyAlignment="1">
      <alignment horizontal="center" vertical="center"/>
    </xf>
    <xf numFmtId="176" fontId="0" fillId="0" borderId="196" xfId="0" applyNumberFormat="1" applyFont="1" applyBorder="1" applyAlignment="1">
      <alignment horizontal="center" vertical="center"/>
    </xf>
    <xf numFmtId="176" fontId="0" fillId="0" borderId="184" xfId="0" applyNumberFormat="1" applyFont="1" applyBorder="1" applyAlignment="1">
      <alignment horizontal="center" vertical="center"/>
    </xf>
    <xf numFmtId="176" fontId="0" fillId="0" borderId="18" xfId="0" applyNumberFormat="1" applyFont="1" applyBorder="1" applyAlignment="1">
      <alignment vertical="center"/>
    </xf>
    <xf numFmtId="0" fontId="0" fillId="0" borderId="18" xfId="0" applyFont="1" applyBorder="1" applyAlignment="1">
      <alignment vertical="center"/>
    </xf>
    <xf numFmtId="176" fontId="0" fillId="0" borderId="278" xfId="0" applyNumberFormat="1" applyFont="1" applyBorder="1" applyAlignment="1">
      <alignment horizontal="center" vertical="center" shrinkToFit="1"/>
    </xf>
    <xf numFmtId="176" fontId="0" fillId="0" borderId="81" xfId="0" applyNumberFormat="1" applyFont="1" applyBorder="1" applyAlignment="1">
      <alignment horizontal="center" vertical="center" shrinkToFit="1"/>
    </xf>
    <xf numFmtId="176" fontId="0" fillId="0" borderId="262" xfId="0" applyNumberFormat="1" applyFont="1" applyBorder="1" applyAlignment="1">
      <alignment horizontal="center" vertical="center" shrinkToFit="1"/>
    </xf>
    <xf numFmtId="176" fontId="0" fillId="0" borderId="263" xfId="0" applyNumberFormat="1" applyFont="1" applyBorder="1" applyAlignment="1">
      <alignment horizontal="center" vertical="center" shrinkToFit="1"/>
    </xf>
    <xf numFmtId="176" fontId="0" fillId="0" borderId="277" xfId="0" applyNumberFormat="1" applyFont="1" applyBorder="1" applyAlignment="1">
      <alignment horizontal="center" vertical="center" shrinkToFit="1"/>
    </xf>
    <xf numFmtId="176" fontId="0" fillId="0" borderId="257" xfId="0" applyNumberFormat="1" applyFont="1" applyBorder="1" applyAlignment="1">
      <alignment horizontal="center" vertical="center" shrinkToFit="1"/>
    </xf>
    <xf numFmtId="176" fontId="0" fillId="0" borderId="23" xfId="0" applyNumberFormat="1" applyFont="1" applyBorder="1" applyAlignment="1">
      <alignment vertical="center" shrinkToFit="1"/>
    </xf>
    <xf numFmtId="176" fontId="0" fillId="0" borderId="257" xfId="0" applyNumberFormat="1" applyFont="1" applyBorder="1" applyAlignment="1">
      <alignment vertical="center" shrinkToFit="1"/>
    </xf>
    <xf numFmtId="176" fontId="0" fillId="0" borderId="23" xfId="0" applyNumberFormat="1" applyFont="1" applyBorder="1" applyAlignment="1">
      <alignment horizontal="center" vertical="center" shrinkToFit="1"/>
    </xf>
    <xf numFmtId="176" fontId="0" fillId="0" borderId="23" xfId="0" applyNumberFormat="1" applyFont="1" applyBorder="1" applyAlignment="1">
      <alignment horizontal="right" vertical="center" shrinkToFit="1"/>
    </xf>
    <xf numFmtId="176" fontId="0" fillId="0" borderId="16" xfId="0" applyNumberFormat="1" applyFont="1" applyBorder="1" applyAlignment="1">
      <alignment horizontal="right" vertical="center" shrinkToFit="1"/>
    </xf>
    <xf numFmtId="9" fontId="0" fillId="0" borderId="23" xfId="0" applyNumberFormat="1" applyFont="1" applyBorder="1" applyAlignment="1">
      <alignment horizontal="right" vertical="center" shrinkToFit="1"/>
    </xf>
    <xf numFmtId="9" fontId="0" fillId="0" borderId="16" xfId="0" applyNumberFormat="1" applyFont="1" applyBorder="1" applyAlignment="1">
      <alignment horizontal="right" vertical="center" shrinkToFit="1"/>
    </xf>
    <xf numFmtId="176" fontId="1" fillId="0" borderId="23" xfId="0" applyNumberFormat="1" applyFont="1" applyFill="1" applyBorder="1" applyAlignment="1">
      <alignment horizontal="right" vertical="center" shrinkToFit="1"/>
    </xf>
    <xf numFmtId="176" fontId="1" fillId="0" borderId="16" xfId="0" applyNumberFormat="1" applyFont="1" applyFill="1" applyBorder="1" applyAlignment="1">
      <alignment horizontal="right" vertical="center" shrinkToFit="1"/>
    </xf>
    <xf numFmtId="176" fontId="1" fillId="0" borderId="257" xfId="0" applyNumberFormat="1" applyFont="1" applyFill="1" applyBorder="1" applyAlignment="1">
      <alignment horizontal="right" vertical="center" shrinkToFit="1"/>
    </xf>
    <xf numFmtId="9" fontId="1" fillId="0" borderId="23" xfId="0" applyNumberFormat="1" applyFont="1" applyBorder="1" applyAlignment="1">
      <alignment horizontal="right" vertical="center" shrinkToFit="1"/>
    </xf>
    <xf numFmtId="9" fontId="1" fillId="0" borderId="16" xfId="0" applyNumberFormat="1" applyFont="1" applyBorder="1" applyAlignment="1">
      <alignment horizontal="right" vertical="center" shrinkToFit="1"/>
    </xf>
    <xf numFmtId="9" fontId="1" fillId="0" borderId="257" xfId="0" applyNumberFormat="1" applyFont="1" applyBorder="1" applyAlignment="1">
      <alignment horizontal="right" vertical="center" shrinkToFit="1"/>
    </xf>
    <xf numFmtId="176" fontId="1" fillId="0" borderId="23" xfId="0" applyNumberFormat="1" applyFont="1" applyBorder="1" applyAlignment="1">
      <alignment horizontal="right" vertical="center" shrinkToFit="1"/>
    </xf>
    <xf numFmtId="176" fontId="1" fillId="0" borderId="16" xfId="0" applyNumberFormat="1" applyFont="1" applyBorder="1" applyAlignment="1">
      <alignment horizontal="right" vertical="center" shrinkToFit="1"/>
    </xf>
    <xf numFmtId="176" fontId="1" fillId="0" borderId="257" xfId="0" applyNumberFormat="1" applyFont="1" applyBorder="1" applyAlignment="1">
      <alignment horizontal="right" vertical="center" shrinkToFit="1"/>
    </xf>
    <xf numFmtId="176" fontId="0" fillId="0" borderId="23" xfId="0" applyNumberFormat="1" applyFont="1" applyBorder="1" applyAlignment="1">
      <alignment horizontal="left" vertical="center" shrinkToFit="1"/>
    </xf>
    <xf numFmtId="176" fontId="0" fillId="0" borderId="257" xfId="0" applyNumberFormat="1" applyFont="1" applyBorder="1" applyAlignment="1">
      <alignment horizontal="left" vertical="center" shrinkToFit="1"/>
    </xf>
    <xf numFmtId="176" fontId="0" fillId="0" borderId="61" xfId="0" applyNumberFormat="1" applyBorder="1" applyAlignment="1">
      <alignment horizontal="center" vertical="center" textRotation="255" shrinkToFit="1"/>
    </xf>
    <xf numFmtId="176" fontId="0" fillId="0" borderId="59" xfId="0" applyNumberFormat="1" applyBorder="1" applyAlignment="1">
      <alignment horizontal="center" vertical="center" textRotation="255" shrinkToFit="1"/>
    </xf>
    <xf numFmtId="176" fontId="0" fillId="0" borderId="59" xfId="0" applyNumberFormat="1" applyFont="1" applyBorder="1" applyAlignment="1">
      <alignment horizontal="center" vertical="center" textRotation="255" shrinkToFit="1"/>
    </xf>
    <xf numFmtId="176" fontId="0" fillId="0" borderId="263" xfId="0" applyNumberFormat="1" applyFont="1" applyBorder="1" applyAlignment="1">
      <alignment horizontal="center" vertical="center" textRotation="255" shrinkToFit="1"/>
    </xf>
    <xf numFmtId="176" fontId="0" fillId="0" borderId="16" xfId="0" applyNumberFormat="1" applyFont="1" applyBorder="1" applyAlignment="1">
      <alignment horizontal="left" vertical="center" shrinkToFit="1"/>
    </xf>
    <xf numFmtId="176" fontId="0" fillId="0" borderId="16" xfId="0" applyNumberFormat="1" applyFont="1" applyBorder="1" applyAlignment="1">
      <alignment horizontal="center" vertical="center" shrinkToFit="1"/>
    </xf>
    <xf numFmtId="176" fontId="1" fillId="0" borderId="23" xfId="0" applyNumberFormat="1" applyFont="1" applyBorder="1" applyAlignment="1">
      <alignment horizontal="left" vertical="center" shrinkToFit="1"/>
    </xf>
    <xf numFmtId="176" fontId="1" fillId="0" borderId="16" xfId="0" applyNumberFormat="1" applyFont="1" applyBorder="1" applyAlignment="1">
      <alignment horizontal="left" vertical="center" shrinkToFit="1"/>
    </xf>
    <xf numFmtId="176" fontId="1" fillId="0" borderId="257" xfId="0" applyNumberFormat="1" applyFont="1" applyBorder="1" applyAlignment="1">
      <alignment horizontal="left" vertical="center" shrinkToFit="1"/>
    </xf>
    <xf numFmtId="176" fontId="0" fillId="0" borderId="23" xfId="0" applyNumberFormat="1" applyFont="1" applyFill="1" applyBorder="1" applyAlignment="1">
      <alignment horizontal="right" vertical="center" shrinkToFit="1"/>
    </xf>
    <xf numFmtId="176" fontId="0" fillId="0" borderId="16" xfId="0" applyNumberFormat="1" applyFont="1" applyFill="1" applyBorder="1" applyAlignment="1">
      <alignment horizontal="right" vertical="center" shrinkToFit="1"/>
    </xf>
    <xf numFmtId="176" fontId="0" fillId="0" borderId="257" xfId="0" applyNumberFormat="1" applyFont="1" applyFill="1" applyBorder="1" applyAlignment="1">
      <alignment horizontal="right" vertical="center" shrinkToFit="1"/>
    </xf>
    <xf numFmtId="176" fontId="1" fillId="0" borderId="23" xfId="0" applyNumberFormat="1" applyFont="1" applyFill="1" applyBorder="1" applyAlignment="1">
      <alignment horizontal="center" vertical="center" shrinkToFit="1"/>
    </xf>
    <xf numFmtId="176" fontId="1" fillId="0" borderId="16" xfId="0" applyNumberFormat="1" applyFont="1" applyFill="1" applyBorder="1" applyAlignment="1">
      <alignment horizontal="center" vertical="center" shrinkToFit="1"/>
    </xf>
    <xf numFmtId="176" fontId="1" fillId="0" borderId="257" xfId="0" applyNumberFormat="1" applyFont="1" applyFill="1" applyBorder="1" applyAlignment="1">
      <alignment horizontal="center" vertical="center" shrinkToFit="1"/>
    </xf>
    <xf numFmtId="176" fontId="0" fillId="0" borderId="257" xfId="0" applyNumberFormat="1" applyFont="1" applyBorder="1" applyAlignment="1">
      <alignment horizontal="right" vertical="center" shrinkToFit="1"/>
    </xf>
    <xf numFmtId="176" fontId="0" fillId="0" borderId="23" xfId="0" applyNumberFormat="1" applyFont="1" applyFill="1" applyBorder="1" applyAlignment="1">
      <alignment horizontal="left" vertical="center" shrinkToFit="1"/>
    </xf>
    <xf numFmtId="176" fontId="0" fillId="0" borderId="16" xfId="0" applyNumberFormat="1" applyFont="1" applyFill="1" applyBorder="1" applyAlignment="1">
      <alignment horizontal="left" vertical="center" shrinkToFit="1"/>
    </xf>
    <xf numFmtId="176" fontId="0" fillId="0" borderId="257" xfId="0" applyNumberFormat="1" applyFont="1" applyFill="1" applyBorder="1" applyAlignment="1">
      <alignment horizontal="left" vertical="center" shrinkToFit="1"/>
    </xf>
    <xf numFmtId="176" fontId="0" fillId="0" borderId="23" xfId="0" applyNumberFormat="1" applyFill="1" applyBorder="1" applyAlignment="1">
      <alignment horizontal="center" vertical="center" shrinkToFit="1"/>
    </xf>
    <xf numFmtId="176" fontId="0" fillId="0" borderId="16" xfId="0" applyNumberFormat="1" applyFill="1" applyBorder="1" applyAlignment="1">
      <alignment horizontal="center" vertical="center" shrinkToFit="1"/>
    </xf>
    <xf numFmtId="176" fontId="0" fillId="0" borderId="257" xfId="0" applyNumberFormat="1" applyFill="1" applyBorder="1" applyAlignment="1">
      <alignment horizontal="center" vertical="center" shrinkToFit="1"/>
    </xf>
    <xf numFmtId="176" fontId="0" fillId="0" borderId="23" xfId="0" applyNumberFormat="1"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176" fontId="0" fillId="0" borderId="257" xfId="0" applyNumberFormat="1" applyFont="1" applyFill="1" applyBorder="1" applyAlignment="1">
      <alignment horizontal="center" vertical="center" shrinkToFit="1"/>
    </xf>
    <xf numFmtId="185" fontId="0" fillId="0" borderId="23" xfId="0" applyNumberFormat="1" applyFont="1" applyBorder="1" applyAlignment="1">
      <alignment horizontal="right" vertical="center" shrinkToFit="1"/>
    </xf>
    <xf numFmtId="185" fontId="0" fillId="0" borderId="257" xfId="0" applyNumberFormat="1" applyFont="1" applyBorder="1" applyAlignment="1">
      <alignment horizontal="right" vertical="center" shrinkToFit="1"/>
    </xf>
    <xf numFmtId="9" fontId="0" fillId="0" borderId="257" xfId="0" applyNumberFormat="1" applyFont="1" applyBorder="1" applyAlignment="1">
      <alignment horizontal="right" vertical="center" shrinkToFit="1"/>
    </xf>
    <xf numFmtId="176" fontId="0" fillId="0" borderId="279" xfId="0" applyNumberFormat="1" applyFont="1" applyBorder="1" applyAlignment="1">
      <alignment horizontal="left" vertical="center" shrinkToFit="1"/>
    </xf>
    <xf numFmtId="176" fontId="0" fillId="0" borderId="23" xfId="0" applyNumberFormat="1" applyBorder="1" applyAlignment="1">
      <alignment horizontal="left" vertical="center" shrinkToFit="1"/>
    </xf>
    <xf numFmtId="176" fontId="0" fillId="0" borderId="257" xfId="0" applyNumberFormat="1" applyBorder="1" applyAlignment="1">
      <alignment horizontal="left" vertical="center" shrinkToFit="1"/>
    </xf>
    <xf numFmtId="176" fontId="0" fillId="0" borderId="23" xfId="0" applyNumberFormat="1" applyBorder="1" applyAlignment="1">
      <alignment horizontal="center" vertical="center" shrinkToFit="1"/>
    </xf>
    <xf numFmtId="176" fontId="0" fillId="0" borderId="257" xfId="0" applyNumberFormat="1" applyBorder="1" applyAlignment="1">
      <alignment horizontal="center" vertical="center" shrinkToFit="1"/>
    </xf>
    <xf numFmtId="0" fontId="0" fillId="0" borderId="280" xfId="0" applyBorder="1" applyAlignment="1">
      <alignment horizontal="left" vertical="center"/>
    </xf>
    <xf numFmtId="0" fontId="0" fillId="0" borderId="279" xfId="0" applyBorder="1" applyAlignment="1">
      <alignment horizontal="left" vertical="center"/>
    </xf>
    <xf numFmtId="9" fontId="0" fillId="0" borderId="23" xfId="0" applyNumberFormat="1" applyFont="1" applyBorder="1" applyAlignment="1">
      <alignment vertical="center" shrinkToFit="1"/>
    </xf>
    <xf numFmtId="9" fontId="0" fillId="0" borderId="257" xfId="0" applyNumberFormat="1" applyFont="1" applyBorder="1" applyAlignment="1">
      <alignment vertical="center" shrinkToFit="1"/>
    </xf>
    <xf numFmtId="176" fontId="16" fillId="0" borderId="23" xfId="0" applyNumberFormat="1" applyFont="1" applyBorder="1" applyAlignment="1">
      <alignment vertical="center" shrinkToFit="1"/>
    </xf>
    <xf numFmtId="176" fontId="16" fillId="0" borderId="257" xfId="0" applyNumberFormat="1" applyFont="1" applyBorder="1" applyAlignment="1">
      <alignment vertical="center" shrinkToFit="1"/>
    </xf>
    <xf numFmtId="176" fontId="1" fillId="0" borderId="279" xfId="0" applyNumberFormat="1" applyFont="1" applyBorder="1" applyAlignment="1">
      <alignment horizontal="right" vertical="center" shrinkToFit="1"/>
    </xf>
    <xf numFmtId="9" fontId="0" fillId="0" borderId="16" xfId="0" applyNumberFormat="1" applyFont="1" applyBorder="1" applyAlignment="1">
      <alignment vertical="center" shrinkToFit="1"/>
    </xf>
    <xf numFmtId="176" fontId="16" fillId="0" borderId="16" xfId="0" applyNumberFormat="1" applyFont="1" applyBorder="1" applyAlignment="1">
      <alignment vertical="center" shrinkToFit="1"/>
    </xf>
    <xf numFmtId="176" fontId="0" fillId="0" borderId="61" xfId="0" applyNumberFormat="1" applyFont="1" applyBorder="1" applyAlignment="1">
      <alignment horizontal="center" vertical="center" textRotation="255" shrinkToFit="1"/>
    </xf>
    <xf numFmtId="176" fontId="0" fillId="0" borderId="16" xfId="0" applyNumberFormat="1" applyFont="1" applyBorder="1" applyAlignment="1">
      <alignment vertical="center" shrinkToFit="1"/>
    </xf>
    <xf numFmtId="177" fontId="0" fillId="0" borderId="297" xfId="0" applyNumberFormat="1" applyFill="1" applyBorder="1" applyAlignment="1">
      <alignment horizontal="left" vertical="center"/>
    </xf>
    <xf numFmtId="177" fontId="0" fillId="0" borderId="298" xfId="0" applyNumberFormat="1" applyFill="1" applyBorder="1" applyAlignment="1">
      <alignment horizontal="left" vertical="center"/>
    </xf>
    <xf numFmtId="177" fontId="0" fillId="0" borderId="299" xfId="0" applyNumberFormat="1" applyFill="1" applyBorder="1" applyAlignment="1">
      <alignment horizontal="left" vertical="center"/>
    </xf>
    <xf numFmtId="177" fontId="0" fillId="0" borderId="163" xfId="0" applyNumberFormat="1" applyFill="1" applyBorder="1" applyAlignment="1">
      <alignment vertical="center" shrinkToFit="1"/>
    </xf>
    <xf numFmtId="177" fontId="0" fillId="0" borderId="170" xfId="0" applyNumberFormat="1" applyFont="1" applyFill="1" applyBorder="1" applyAlignment="1">
      <alignment vertical="center" shrinkToFit="1"/>
    </xf>
    <xf numFmtId="177" fontId="0" fillId="0" borderId="171" xfId="0" applyNumberFormat="1" applyFont="1" applyFill="1" applyBorder="1" applyAlignment="1">
      <alignment vertical="center" shrinkToFit="1"/>
    </xf>
    <xf numFmtId="177" fontId="0" fillId="0" borderId="170" xfId="0" applyNumberFormat="1" applyFill="1" applyBorder="1" applyAlignment="1">
      <alignment vertical="center" shrinkToFit="1"/>
    </xf>
    <xf numFmtId="177" fontId="0" fillId="0" borderId="171" xfId="0" applyNumberFormat="1" applyFill="1" applyBorder="1" applyAlignment="1">
      <alignment vertical="center" shrinkToFit="1"/>
    </xf>
    <xf numFmtId="177" fontId="0" fillId="0" borderId="88" xfId="0" applyNumberFormat="1" applyFill="1" applyBorder="1" applyAlignment="1">
      <alignment vertical="center"/>
    </xf>
    <xf numFmtId="0" fontId="0" fillId="0" borderId="88" xfId="0" applyFont="1" applyFill="1" applyBorder="1" applyAlignment="1">
      <alignment vertical="center"/>
    </xf>
    <xf numFmtId="0" fontId="0" fillId="0" borderId="77" xfId="0" applyFont="1" applyFill="1" applyBorder="1" applyAlignment="1">
      <alignment vertical="center"/>
    </xf>
    <xf numFmtId="177" fontId="0" fillId="0" borderId="163" xfId="0" applyNumberFormat="1" applyFont="1" applyFill="1" applyBorder="1" applyAlignment="1">
      <alignment vertical="center"/>
    </xf>
    <xf numFmtId="177" fontId="0" fillId="0" borderId="170" xfId="0" applyNumberFormat="1" applyFont="1" applyFill="1" applyBorder="1" applyAlignment="1">
      <alignment vertical="center"/>
    </xf>
    <xf numFmtId="177" fontId="0" fillId="0" borderId="171" xfId="0" applyNumberFormat="1" applyFont="1" applyFill="1" applyBorder="1" applyAlignment="1">
      <alignment vertical="center"/>
    </xf>
    <xf numFmtId="177" fontId="0" fillId="0" borderId="163" xfId="0" applyNumberFormat="1" applyFont="1" applyFill="1" applyBorder="1" applyAlignment="1">
      <alignment vertical="center" shrinkToFit="1"/>
    </xf>
    <xf numFmtId="177" fontId="0" fillId="0" borderId="12"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112" xfId="0" applyNumberFormat="1" applyFont="1" applyFill="1" applyBorder="1" applyAlignment="1">
      <alignment horizontal="center" vertical="center"/>
    </xf>
    <xf numFmtId="177" fontId="0" fillId="0" borderId="163" xfId="0" applyNumberFormat="1" applyFont="1" applyBorder="1" applyAlignment="1">
      <alignment vertical="center"/>
    </xf>
    <xf numFmtId="177" fontId="0" fillId="0" borderId="170" xfId="0" applyNumberFormat="1" applyFont="1" applyBorder="1" applyAlignment="1">
      <alignment vertical="center"/>
    </xf>
    <xf numFmtId="177" fontId="0" fillId="0" borderId="171" xfId="0" applyNumberFormat="1" applyFont="1" applyBorder="1" applyAlignment="1">
      <alignment vertical="center"/>
    </xf>
    <xf numFmtId="177" fontId="0" fillId="0" borderId="127" xfId="0" applyNumberFormat="1" applyBorder="1" applyAlignment="1">
      <alignment horizontal="center" vertical="center" textRotation="255" shrinkToFit="1"/>
    </xf>
    <xf numFmtId="177" fontId="0" fillId="0" borderId="59" xfId="0" applyNumberFormat="1" applyBorder="1" applyAlignment="1">
      <alignment horizontal="center" vertical="center" textRotation="255" shrinkToFit="1"/>
    </xf>
    <xf numFmtId="177" fontId="0" fillId="0" borderId="9" xfId="0" applyNumberFormat="1" applyBorder="1" applyAlignment="1">
      <alignment horizontal="center" vertical="center" textRotation="255" shrinkToFit="1"/>
    </xf>
    <xf numFmtId="177" fontId="0" fillId="0" borderId="33" xfId="0" applyNumberFormat="1" applyBorder="1" applyAlignment="1">
      <alignment horizontal="center" vertical="center" textRotation="255" shrinkToFit="1"/>
    </xf>
    <xf numFmtId="177" fontId="0" fillId="2" borderId="25" xfId="0" applyNumberFormat="1" applyFont="1" applyFill="1" applyBorder="1" applyAlignment="1">
      <alignment horizontal="right" vertical="center" shrinkToFit="1"/>
    </xf>
    <xf numFmtId="177" fontId="0" fillId="2" borderId="29" xfId="0" applyNumberFormat="1" applyFont="1" applyFill="1" applyBorder="1" applyAlignment="1">
      <alignment horizontal="right" vertical="center" shrinkToFit="1"/>
    </xf>
    <xf numFmtId="177" fontId="0" fillId="0" borderId="12" xfId="0" applyNumberFormat="1" applyFont="1" applyFill="1" applyBorder="1" applyAlignment="1">
      <alignment horizontal="center" vertical="center" shrinkToFit="1"/>
    </xf>
    <xf numFmtId="177" fontId="0" fillId="0" borderId="21" xfId="0" applyNumberFormat="1" applyFont="1" applyFill="1" applyBorder="1" applyAlignment="1">
      <alignment horizontal="center" vertical="center" shrinkToFit="1"/>
    </xf>
    <xf numFmtId="177" fontId="0" fillId="0" borderId="112" xfId="0" applyNumberFormat="1" applyFont="1" applyFill="1" applyBorder="1" applyAlignment="1">
      <alignment horizontal="center" vertical="center" shrinkToFit="1"/>
    </xf>
    <xf numFmtId="177" fontId="0" fillId="0" borderId="125" xfId="0" applyNumberFormat="1" applyFont="1" applyBorder="1" applyAlignment="1">
      <alignment vertical="center"/>
    </xf>
    <xf numFmtId="177" fontId="0" fillId="0" borderId="132" xfId="0" applyNumberFormat="1" applyFont="1" applyBorder="1" applyAlignment="1">
      <alignment vertical="center"/>
    </xf>
    <xf numFmtId="177" fontId="0" fillId="0" borderId="150" xfId="0" applyNumberFormat="1" applyFont="1" applyBorder="1" applyAlignment="1">
      <alignment vertical="center"/>
    </xf>
    <xf numFmtId="177" fontId="0" fillId="0" borderId="163" xfId="0" applyNumberFormat="1" applyFont="1" applyFill="1" applyBorder="1" applyAlignment="1">
      <alignment horizontal="center" vertical="center"/>
    </xf>
    <xf numFmtId="177" fontId="0" fillId="0" borderId="170" xfId="0" applyNumberFormat="1" applyFont="1" applyFill="1" applyBorder="1" applyAlignment="1">
      <alignment horizontal="center" vertical="center"/>
    </xf>
    <xf numFmtId="177" fontId="0" fillId="0" borderId="171" xfId="0" applyNumberFormat="1" applyFont="1" applyFill="1" applyBorder="1" applyAlignment="1">
      <alignment horizontal="center" vertical="center"/>
    </xf>
    <xf numFmtId="177" fontId="0" fillId="0" borderId="251" xfId="0" applyNumberFormat="1" applyFill="1" applyBorder="1" applyAlignment="1">
      <alignment horizontal="center" vertical="center"/>
    </xf>
    <xf numFmtId="177" fontId="0" fillId="0" borderId="252" xfId="0" applyNumberFormat="1" applyFont="1" applyFill="1" applyBorder="1" applyAlignment="1">
      <alignment horizontal="center" vertical="center"/>
    </xf>
    <xf numFmtId="177" fontId="0" fillId="0" borderId="253" xfId="0" applyNumberFormat="1" applyFont="1" applyFill="1" applyBorder="1" applyAlignment="1">
      <alignment horizontal="center" vertical="center"/>
    </xf>
    <xf numFmtId="177" fontId="0" fillId="0" borderId="243" xfId="0" applyNumberFormat="1" applyFont="1" applyFill="1" applyBorder="1" applyAlignment="1">
      <alignment horizontal="center" vertical="center" shrinkToFit="1"/>
    </xf>
    <xf numFmtId="177" fontId="0" fillId="0" borderId="255" xfId="0" applyNumberFormat="1" applyFont="1" applyFill="1" applyBorder="1" applyAlignment="1">
      <alignment horizontal="center" vertical="center" shrinkToFit="1"/>
    </xf>
    <xf numFmtId="177" fontId="0" fillId="0" borderId="23" xfId="0" applyNumberFormat="1" applyFont="1" applyFill="1" applyBorder="1" applyAlignment="1">
      <alignment vertical="center" shrinkToFit="1"/>
    </xf>
    <xf numFmtId="177" fontId="0" fillId="0" borderId="257" xfId="0" applyNumberFormat="1" applyFont="1" applyFill="1" applyBorder="1" applyAlignment="1">
      <alignment vertical="center" shrinkToFit="1"/>
    </xf>
    <xf numFmtId="177" fontId="0" fillId="0" borderId="16" xfId="0" applyNumberFormat="1" applyFont="1" applyFill="1" applyBorder="1" applyAlignment="1">
      <alignment vertical="center" shrinkToFit="1"/>
    </xf>
    <xf numFmtId="177" fontId="0" fillId="0" borderId="87" xfId="0" applyNumberFormat="1" applyFont="1" applyBorder="1" applyAlignment="1">
      <alignment horizontal="center" vertical="center" shrinkToFit="1"/>
    </xf>
    <xf numFmtId="177" fontId="0" fillId="0" borderId="88" xfId="0" applyNumberFormat="1" applyFont="1" applyBorder="1" applyAlignment="1">
      <alignment horizontal="center" vertical="center" shrinkToFit="1"/>
    </xf>
    <xf numFmtId="177" fontId="0" fillId="0" borderId="251" xfId="0" applyNumberFormat="1" applyFont="1" applyBorder="1" applyAlignment="1">
      <alignment horizontal="center" vertical="center" shrinkToFit="1"/>
    </xf>
    <xf numFmtId="177" fontId="0" fillId="0" borderId="252" xfId="0" applyNumberFormat="1" applyFont="1" applyBorder="1" applyAlignment="1">
      <alignment horizontal="center" vertical="center" shrinkToFit="1"/>
    </xf>
    <xf numFmtId="177" fontId="0" fillId="0" borderId="189" xfId="0" applyNumberFormat="1" applyFont="1" applyBorder="1" applyAlignment="1">
      <alignment horizontal="center" vertical="center" shrinkToFit="1"/>
    </xf>
    <xf numFmtId="177" fontId="0" fillId="0" borderId="23" xfId="0" applyNumberFormat="1" applyFill="1" applyBorder="1" applyAlignment="1">
      <alignment horizontal="center" vertical="center" textRotation="255" shrinkToFit="1"/>
    </xf>
    <xf numFmtId="177" fontId="0" fillId="0" borderId="16" xfId="0" applyNumberFormat="1" applyFill="1" applyBorder="1" applyAlignment="1">
      <alignment horizontal="center" vertical="center" textRotation="255" shrinkToFit="1"/>
    </xf>
    <xf numFmtId="177" fontId="0" fillId="0" borderId="257" xfId="0" applyNumberFormat="1" applyFill="1" applyBorder="1" applyAlignment="1">
      <alignment horizontal="center" vertical="center" textRotation="255" shrinkToFit="1"/>
    </xf>
    <xf numFmtId="177" fontId="0" fillId="0" borderId="137" xfId="0" applyNumberFormat="1" applyBorder="1" applyAlignment="1">
      <alignment horizontal="center" vertical="center" textRotation="255" shrinkToFit="1"/>
    </xf>
    <xf numFmtId="177" fontId="0" fillId="0" borderId="138" xfId="0" applyNumberFormat="1" applyBorder="1" applyAlignment="1">
      <alignment horizontal="center" vertical="center" textRotation="255" shrinkToFit="1"/>
    </xf>
    <xf numFmtId="177" fontId="0" fillId="0" borderId="106" xfId="3" applyNumberFormat="1" applyFont="1" applyBorder="1" applyAlignment="1">
      <alignment horizontal="center" vertical="center" textRotation="255"/>
    </xf>
    <xf numFmtId="177" fontId="0" fillId="0" borderId="105" xfId="3" applyNumberFormat="1" applyFont="1" applyBorder="1" applyAlignment="1">
      <alignment horizontal="center" vertical="center" textRotation="255"/>
    </xf>
    <xf numFmtId="177" fontId="0" fillId="0" borderId="107" xfId="3" applyNumberFormat="1" applyFont="1" applyBorder="1" applyAlignment="1">
      <alignment horizontal="center" vertical="center" textRotation="255"/>
    </xf>
    <xf numFmtId="0" fontId="0" fillId="0" borderId="38" xfId="0" applyFill="1" applyBorder="1" applyAlignment="1">
      <alignment horizontal="center" vertical="center" wrapText="1"/>
    </xf>
    <xf numFmtId="0" fontId="0" fillId="0" borderId="248"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162"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64" xfId="0" applyFont="1" applyFill="1" applyBorder="1" applyAlignment="1">
      <alignment horizontal="center" vertical="center"/>
    </xf>
    <xf numFmtId="177" fontId="0" fillId="0" borderId="88" xfId="0" applyNumberFormat="1" applyFont="1" applyFill="1" applyBorder="1" applyAlignment="1">
      <alignment vertical="center" shrinkToFit="1"/>
    </xf>
    <xf numFmtId="0" fontId="0" fillId="0" borderId="133" xfId="0" applyFill="1" applyBorder="1" applyAlignment="1">
      <alignment horizontal="center" vertical="center" textRotation="255" wrapText="1"/>
    </xf>
    <xf numFmtId="0" fontId="0" fillId="0" borderId="44" xfId="0" applyFont="1" applyFill="1" applyBorder="1" applyAlignment="1">
      <alignment horizontal="center" vertical="center" textRotation="255" wrapText="1"/>
    </xf>
    <xf numFmtId="0" fontId="0" fillId="0" borderId="79" xfId="0" applyFont="1" applyFill="1" applyBorder="1" applyAlignment="1">
      <alignment horizontal="center" vertical="center" textRotation="255" wrapText="1"/>
    </xf>
    <xf numFmtId="0" fontId="0" fillId="0" borderId="162" xfId="0" applyFont="1" applyBorder="1" applyAlignment="1">
      <alignment vertical="center"/>
    </xf>
    <xf numFmtId="0" fontId="0" fillId="0" borderId="248" xfId="0" applyFont="1" applyBorder="1" applyAlignment="1">
      <alignment vertical="center"/>
    </xf>
    <xf numFmtId="0" fontId="0" fillId="6" borderId="47" xfId="0" applyFill="1" applyBorder="1" applyAlignment="1">
      <alignment horizontal="left" vertical="center"/>
    </xf>
    <xf numFmtId="0" fontId="0" fillId="6" borderId="64" xfId="0" applyFont="1" applyFill="1" applyBorder="1" applyAlignment="1">
      <alignment horizontal="left" vertical="center"/>
    </xf>
    <xf numFmtId="177" fontId="0" fillId="2" borderId="134" xfId="0" applyNumberFormat="1" applyFill="1" applyBorder="1" applyAlignment="1">
      <alignment horizontal="center" vertical="center" shrinkToFit="1"/>
    </xf>
    <xf numFmtId="177" fontId="0" fillId="2" borderId="135" xfId="0" applyNumberFormat="1" applyFill="1" applyBorder="1" applyAlignment="1">
      <alignment horizontal="center" vertical="center" shrinkToFit="1"/>
    </xf>
    <xf numFmtId="177" fontId="0" fillId="0" borderId="300" xfId="0" applyNumberFormat="1" applyFill="1" applyBorder="1" applyAlignment="1">
      <alignment horizontal="left" vertical="center"/>
    </xf>
    <xf numFmtId="177" fontId="0" fillId="0" borderId="297" xfId="0" applyNumberFormat="1" applyBorder="1" applyAlignment="1">
      <alignment horizontal="left" vertical="center"/>
    </xf>
    <xf numFmtId="177" fontId="0" fillId="0" borderId="298" xfId="0" applyNumberFormat="1" applyBorder="1" applyAlignment="1">
      <alignment horizontal="left" vertical="center"/>
    </xf>
    <xf numFmtId="177" fontId="0" fillId="0" borderId="300" xfId="0" applyNumberFormat="1" applyBorder="1" applyAlignment="1">
      <alignment horizontal="left" vertical="center"/>
    </xf>
    <xf numFmtId="177" fontId="0" fillId="0" borderId="285" xfId="0" applyNumberFormat="1" applyFont="1" applyBorder="1" applyAlignment="1">
      <alignment horizontal="center" vertical="center" shrinkToFit="1"/>
    </xf>
    <xf numFmtId="177" fontId="0" fillId="0" borderId="194" xfId="0" applyNumberFormat="1" applyFont="1" applyBorder="1" applyAlignment="1">
      <alignment horizontal="center" vertical="center" shrinkToFit="1"/>
    </xf>
    <xf numFmtId="177" fontId="0" fillId="0" borderId="195" xfId="0" applyNumberFormat="1" applyFont="1" applyBorder="1" applyAlignment="1">
      <alignment horizontal="center" vertical="center" shrinkToFit="1"/>
    </xf>
    <xf numFmtId="177" fontId="0" fillId="0" borderId="252" xfId="0" applyNumberFormat="1" applyFill="1" applyBorder="1" applyAlignment="1">
      <alignment horizontal="center" vertical="center"/>
    </xf>
    <xf numFmtId="177" fontId="0" fillId="0" borderId="273" xfId="0" applyNumberFormat="1" applyFont="1" applyBorder="1" applyAlignment="1">
      <alignment horizontal="center" vertical="center" shrinkToFit="1"/>
    </xf>
    <xf numFmtId="177" fontId="0" fillId="0" borderId="287" xfId="0" applyNumberFormat="1" applyFont="1" applyFill="1" applyBorder="1" applyAlignment="1">
      <alignment vertical="center" shrinkToFit="1"/>
    </xf>
    <xf numFmtId="177" fontId="0" fillId="0" borderId="284" xfId="0" applyNumberFormat="1" applyBorder="1" applyAlignment="1">
      <alignment horizontal="center" vertical="center" textRotation="255" shrinkToFit="1"/>
    </xf>
    <xf numFmtId="177" fontId="0" fillId="0" borderId="82" xfId="0" applyNumberFormat="1" applyBorder="1" applyAlignment="1">
      <alignment horizontal="center" vertical="center" textRotation="255" shrinkToFit="1"/>
    </xf>
    <xf numFmtId="177" fontId="0" fillId="0" borderId="0" xfId="0" applyNumberFormat="1" applyBorder="1" applyAlignment="1">
      <alignment horizontal="center" vertical="center" textRotation="255" shrinkToFit="1"/>
    </xf>
    <xf numFmtId="177" fontId="0" fillId="0" borderId="117" xfId="0" applyNumberFormat="1" applyBorder="1" applyAlignment="1">
      <alignment horizontal="center" vertical="center" textRotation="255" shrinkToFit="1"/>
    </xf>
    <xf numFmtId="177" fontId="0" fillId="0" borderId="287" xfId="0" applyNumberFormat="1" applyFill="1" applyBorder="1" applyAlignment="1">
      <alignment vertical="center" shrinkToFit="1"/>
    </xf>
    <xf numFmtId="177" fontId="0" fillId="0" borderId="52" xfId="0" applyNumberFormat="1" applyFill="1" applyBorder="1" applyAlignment="1">
      <alignment vertical="center"/>
    </xf>
    <xf numFmtId="177" fontId="0" fillId="0" borderId="198" xfId="0" applyNumberFormat="1" applyBorder="1" applyAlignment="1">
      <alignment horizontal="center" vertical="center" textRotation="255" shrinkToFit="1"/>
    </xf>
    <xf numFmtId="177" fontId="0" fillId="0" borderId="200" xfId="0" applyNumberFormat="1" applyBorder="1" applyAlignment="1">
      <alignment horizontal="center" vertical="center" textRotation="255" shrinkToFit="1"/>
    </xf>
    <xf numFmtId="177" fontId="0" fillId="0" borderId="46" xfId="0" applyNumberFormat="1" applyBorder="1" applyAlignment="1">
      <alignment horizontal="center" vertical="center" textRotation="255" shrinkToFit="1"/>
    </xf>
    <xf numFmtId="177" fontId="0" fillId="0" borderId="299" xfId="0" applyNumberFormat="1" applyBorder="1" applyAlignment="1">
      <alignment horizontal="left" vertical="center"/>
    </xf>
    <xf numFmtId="177" fontId="1" fillId="0" borderId="297" xfId="0" applyNumberFormat="1" applyFont="1" applyFill="1" applyBorder="1" applyAlignment="1">
      <alignment horizontal="left" vertical="center"/>
    </xf>
    <xf numFmtId="177" fontId="1" fillId="0" borderId="298" xfId="0" applyNumberFormat="1" applyFont="1" applyFill="1" applyBorder="1" applyAlignment="1">
      <alignment horizontal="left" vertical="center"/>
    </xf>
    <xf numFmtId="177" fontId="1" fillId="0" borderId="299" xfId="0" applyNumberFormat="1" applyFont="1" applyFill="1" applyBorder="1" applyAlignment="1">
      <alignment horizontal="left" vertical="center"/>
    </xf>
    <xf numFmtId="177" fontId="0" fillId="0" borderId="88" xfId="0" applyNumberFormat="1" applyFont="1" applyFill="1" applyBorder="1" applyAlignment="1">
      <alignment vertical="center"/>
    </xf>
    <xf numFmtId="177" fontId="0" fillId="0" borderId="13" xfId="0" applyNumberFormat="1" applyFill="1" applyBorder="1" applyAlignment="1">
      <alignment vertical="center" shrinkToFit="1"/>
    </xf>
    <xf numFmtId="177" fontId="0" fillId="0" borderId="14" xfId="0" applyNumberFormat="1" applyFont="1" applyFill="1" applyBorder="1" applyAlignment="1">
      <alignment vertical="center" shrinkToFit="1"/>
    </xf>
    <xf numFmtId="177" fontId="0" fillId="0" borderId="15" xfId="0" applyNumberFormat="1" applyFont="1" applyFill="1" applyBorder="1" applyAlignment="1">
      <alignment vertical="center" shrinkToFit="1"/>
    </xf>
    <xf numFmtId="177" fontId="0" fillId="0" borderId="297" xfId="0" applyNumberFormat="1" applyFont="1" applyFill="1" applyBorder="1" applyAlignment="1">
      <alignment horizontal="left" vertical="center" shrinkToFit="1"/>
    </xf>
    <xf numFmtId="177" fontId="0" fillId="0" borderId="298" xfId="0" applyNumberFormat="1" applyFont="1" applyFill="1" applyBorder="1" applyAlignment="1">
      <alignment horizontal="left" vertical="center" shrinkToFit="1"/>
    </xf>
    <xf numFmtId="177" fontId="0" fillId="0" borderId="299" xfId="0" applyNumberFormat="1" applyFont="1" applyFill="1" applyBorder="1" applyAlignment="1">
      <alignment horizontal="left" vertical="center" shrinkToFit="1"/>
    </xf>
    <xf numFmtId="177" fontId="0" fillId="0" borderId="297" xfId="0" applyNumberFormat="1" applyFill="1" applyBorder="1" applyAlignment="1">
      <alignment horizontal="left" vertical="center" shrinkToFit="1"/>
    </xf>
    <xf numFmtId="177" fontId="0" fillId="0" borderId="298" xfId="0" applyNumberFormat="1" applyFill="1" applyBorder="1" applyAlignment="1">
      <alignment horizontal="left" vertical="center" shrinkToFit="1"/>
    </xf>
    <xf numFmtId="177" fontId="0" fillId="0" borderId="299" xfId="0" applyNumberFormat="1" applyFill="1" applyBorder="1" applyAlignment="1">
      <alignment horizontal="left" vertical="center" shrinkToFit="1"/>
    </xf>
    <xf numFmtId="177" fontId="0" fillId="0" borderId="298" xfId="3" applyNumberFormat="1" applyFont="1" applyBorder="1" applyAlignment="1">
      <alignment horizontal="left" vertical="center" shrinkToFit="1"/>
    </xf>
    <xf numFmtId="177" fontId="0" fillId="0" borderId="299" xfId="3" applyNumberFormat="1" applyFont="1" applyBorder="1" applyAlignment="1">
      <alignment horizontal="left" vertical="center" shrinkToFit="1"/>
    </xf>
    <xf numFmtId="177" fontId="16" fillId="0" borderId="163" xfId="0" applyNumberFormat="1" applyFont="1" applyFill="1" applyBorder="1" applyAlignment="1">
      <alignment vertical="center" shrinkToFit="1"/>
    </xf>
    <xf numFmtId="177" fontId="16" fillId="0" borderId="171" xfId="0" applyNumberFormat="1" applyFont="1" applyFill="1" applyBorder="1" applyAlignment="1">
      <alignment vertical="center" shrinkToFit="1"/>
    </xf>
    <xf numFmtId="177" fontId="0" fillId="0" borderId="13" xfId="0" applyNumberFormat="1" applyFont="1" applyFill="1" applyBorder="1" applyAlignment="1">
      <alignment vertical="center"/>
    </xf>
    <xf numFmtId="177" fontId="0" fillId="0" borderId="14" xfId="0" applyNumberFormat="1" applyFont="1" applyFill="1" applyBorder="1" applyAlignment="1">
      <alignment vertical="center"/>
    </xf>
    <xf numFmtId="177" fontId="0" fillId="0" borderId="15" xfId="0" applyNumberFormat="1" applyFont="1" applyFill="1" applyBorder="1" applyAlignment="1">
      <alignment vertical="center"/>
    </xf>
    <xf numFmtId="177" fontId="0" fillId="0" borderId="13" xfId="0" applyNumberFormat="1" applyFont="1" applyBorder="1" applyAlignment="1">
      <alignment vertical="center"/>
    </xf>
    <xf numFmtId="177" fontId="0" fillId="0" borderId="14" xfId="0" applyNumberFormat="1" applyFont="1" applyBorder="1" applyAlignment="1">
      <alignment vertical="center"/>
    </xf>
    <xf numFmtId="177" fontId="0" fillId="0" borderId="15" xfId="0" applyNumberFormat="1" applyFont="1" applyBorder="1" applyAlignment="1">
      <alignment vertical="center"/>
    </xf>
    <xf numFmtId="177" fontId="0" fillId="0" borderId="13" xfId="0" applyNumberFormat="1" applyFont="1" applyFill="1" applyBorder="1" applyAlignment="1">
      <alignment horizontal="center"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0" fontId="0" fillId="0" borderId="50" xfId="0" applyFont="1" applyFill="1" applyBorder="1" applyAlignment="1">
      <alignment horizontal="center" vertical="center" wrapText="1"/>
    </xf>
    <xf numFmtId="0" fontId="0" fillId="0" borderId="42" xfId="0" applyFont="1" applyFill="1" applyBorder="1" applyAlignment="1">
      <alignment horizontal="center" vertical="center" wrapText="1"/>
    </xf>
    <xf numFmtId="177" fontId="0" fillId="0" borderId="85" xfId="0" applyNumberFormat="1" applyFill="1" applyBorder="1" applyAlignment="1">
      <alignment horizontal="center" vertical="center" textRotation="255" shrinkToFit="1"/>
    </xf>
    <xf numFmtId="177" fontId="0" fillId="0" borderId="85" xfId="0" applyNumberFormat="1" applyFont="1" applyFill="1" applyBorder="1" applyAlignment="1">
      <alignment vertical="center" shrinkToFit="1"/>
    </xf>
    <xf numFmtId="177" fontId="0" fillId="2" borderId="113" xfId="0" applyNumberFormat="1" applyFont="1" applyFill="1" applyBorder="1" applyAlignment="1">
      <alignment horizontal="right" vertical="center" shrinkToFit="1"/>
    </xf>
    <xf numFmtId="177" fontId="0" fillId="2" borderId="192" xfId="0" applyNumberFormat="1" applyFont="1" applyFill="1" applyBorder="1" applyAlignment="1">
      <alignment horizontal="right" vertical="center" shrinkToFit="1"/>
    </xf>
    <xf numFmtId="177" fontId="0" fillId="0" borderId="3" xfId="0" applyNumberFormat="1" applyFont="1" applyBorder="1" applyAlignment="1">
      <alignment horizontal="center" vertical="center" shrinkToFit="1"/>
    </xf>
    <xf numFmtId="177" fontId="0" fillId="0" borderId="4" xfId="0" applyNumberFormat="1" applyFont="1" applyBorder="1" applyAlignment="1">
      <alignment horizontal="center" vertical="center" shrinkToFit="1"/>
    </xf>
    <xf numFmtId="177" fontId="0" fillId="0" borderId="86" xfId="0" applyNumberFormat="1" applyFont="1" applyBorder="1" applyAlignment="1">
      <alignment horizontal="center" vertical="center" shrinkToFit="1"/>
    </xf>
    <xf numFmtId="177" fontId="0" fillId="0" borderId="3" xfId="0" applyNumberFormat="1" applyFill="1" applyBorder="1" applyAlignment="1">
      <alignment horizontal="center" vertical="center"/>
    </xf>
    <xf numFmtId="177"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shrinkToFit="1"/>
    </xf>
    <xf numFmtId="177" fontId="0" fillId="0" borderId="60" xfId="0" applyNumberFormat="1" applyFont="1" applyFill="1" applyBorder="1" applyAlignment="1">
      <alignment horizontal="center" vertical="center" shrinkToFit="1"/>
    </xf>
    <xf numFmtId="176" fontId="0" fillId="0" borderId="215" xfId="0" applyNumberFormat="1" applyFont="1" applyBorder="1" applyAlignment="1">
      <alignment horizontal="center" vertical="center" textRotation="255" shrinkToFit="1"/>
    </xf>
    <xf numFmtId="176" fontId="0" fillId="0" borderId="216" xfId="0" applyNumberFormat="1" applyFont="1" applyBorder="1" applyAlignment="1">
      <alignment horizontal="center" vertical="center" textRotation="255" shrinkToFit="1"/>
    </xf>
    <xf numFmtId="176" fontId="0" fillId="0" borderId="217" xfId="0" applyNumberFormat="1" applyFont="1" applyBorder="1" applyAlignment="1">
      <alignment horizontal="center" vertical="center" textRotation="255" shrinkToFit="1"/>
    </xf>
    <xf numFmtId="176" fontId="0" fillId="0" borderId="220" xfId="0" applyNumberFormat="1" applyFont="1" applyBorder="1" applyAlignment="1">
      <alignment horizontal="center" vertical="center" textRotation="255" shrinkToFit="1"/>
    </xf>
    <xf numFmtId="177" fontId="0" fillId="0" borderId="152" xfId="3" applyNumberFormat="1" applyFont="1" applyBorder="1" applyAlignment="1">
      <alignment horizontal="center" vertical="center" textRotation="255" shrinkToFit="1"/>
    </xf>
    <xf numFmtId="177" fontId="0" fillId="0" borderId="105" xfId="3" applyNumberFormat="1" applyFont="1" applyBorder="1" applyAlignment="1">
      <alignment horizontal="center" vertical="center" textRotation="255" shrinkToFit="1"/>
    </xf>
    <xf numFmtId="177" fontId="0" fillId="0" borderId="161" xfId="3" applyNumberFormat="1" applyFont="1" applyBorder="1" applyAlignment="1">
      <alignment horizontal="center" vertical="center" textRotation="255" shrinkToFit="1"/>
    </xf>
    <xf numFmtId="177" fontId="0" fillId="0" borderId="163" xfId="0" applyNumberFormat="1" applyFont="1" applyBorder="1" applyAlignment="1">
      <alignment horizontal="center" vertical="center" shrinkToFit="1"/>
    </xf>
    <xf numFmtId="177" fontId="0" fillId="0" borderId="52" xfId="0" applyNumberFormat="1" applyFont="1" applyBorder="1" applyAlignment="1">
      <alignment horizontal="center" vertical="center" shrinkToFit="1"/>
    </xf>
    <xf numFmtId="177" fontId="0" fillId="2" borderId="296" xfId="0" applyNumberFormat="1" applyFont="1" applyFill="1" applyBorder="1" applyAlignment="1">
      <alignment horizontal="center" vertical="center" shrinkToFit="1"/>
    </xf>
    <xf numFmtId="177" fontId="0" fillId="2" borderId="222" xfId="0" applyNumberFormat="1" applyFont="1" applyFill="1" applyBorder="1" applyAlignment="1">
      <alignment horizontal="center" vertical="center" shrinkToFit="1"/>
    </xf>
    <xf numFmtId="3" fontId="0" fillId="0" borderId="54" xfId="5" applyNumberFormat="1" applyFont="1" applyFill="1" applyBorder="1" applyAlignment="1">
      <alignment horizontal="center" vertical="center" shrinkToFit="1"/>
    </xf>
    <xf numFmtId="3" fontId="0" fillId="0" borderId="44" xfId="5" applyNumberFormat="1" applyFont="1" applyFill="1" applyBorder="1" applyAlignment="1">
      <alignment horizontal="center" vertical="center" shrinkToFit="1"/>
    </xf>
    <xf numFmtId="3" fontId="0" fillId="0" borderId="248" xfId="5" applyNumberFormat="1" applyFont="1" applyFill="1" applyBorder="1" applyAlignment="1">
      <alignment horizontal="center" vertical="center" shrinkToFit="1"/>
    </xf>
    <xf numFmtId="177" fontId="0" fillId="0" borderId="168" xfId="3" applyNumberFormat="1" applyFont="1" applyBorder="1" applyAlignment="1">
      <alignment horizontal="center" vertical="center" shrinkToFit="1"/>
    </xf>
    <xf numFmtId="177" fontId="0" fillId="0" borderId="105" xfId="3" applyNumberFormat="1" applyFont="1" applyBorder="1" applyAlignment="1">
      <alignment horizontal="center" vertical="center" shrinkToFit="1"/>
    </xf>
    <xf numFmtId="177" fontId="0" fillId="0" borderId="245" xfId="3" applyNumberFormat="1" applyFont="1" applyBorder="1" applyAlignment="1">
      <alignment horizontal="center" vertical="center" shrinkToFit="1"/>
    </xf>
    <xf numFmtId="177" fontId="0" fillId="0" borderId="152" xfId="3" applyNumberFormat="1" applyFont="1" applyBorder="1" applyAlignment="1">
      <alignment horizontal="center" vertical="center" shrinkToFit="1"/>
    </xf>
    <xf numFmtId="177" fontId="0" fillId="0" borderId="161" xfId="3" applyNumberFormat="1" applyFont="1" applyBorder="1" applyAlignment="1">
      <alignment horizontal="center" vertical="center" shrinkToFit="1"/>
    </xf>
    <xf numFmtId="177" fontId="0" fillId="0" borderId="38" xfId="3" applyNumberFormat="1" applyFont="1" applyBorder="1" applyAlignment="1">
      <alignment horizontal="center" vertical="center" shrinkToFit="1"/>
    </xf>
    <xf numFmtId="177" fontId="0" fillId="0" borderId="35" xfId="3" applyNumberFormat="1" applyFont="1" applyBorder="1" applyAlignment="1">
      <alignment horizontal="center" vertical="center" shrinkToFit="1"/>
    </xf>
    <xf numFmtId="177" fontId="0" fillId="0" borderId="67" xfId="3" applyNumberFormat="1" applyFont="1" applyBorder="1" applyAlignment="1">
      <alignment horizontal="center" vertical="center" shrinkToFit="1"/>
    </xf>
    <xf numFmtId="176" fontId="0" fillId="0" borderId="24" xfId="0" applyNumberFormat="1" applyFont="1" applyBorder="1" applyAlignment="1">
      <alignment vertical="center"/>
    </xf>
    <xf numFmtId="176" fontId="0" fillId="0" borderId="179" xfId="0" applyNumberFormat="1" applyFont="1" applyFill="1" applyBorder="1" applyAlignment="1">
      <alignment horizontal="center" vertical="center" shrinkToFit="1"/>
    </xf>
    <xf numFmtId="176" fontId="0" fillId="0" borderId="294" xfId="0" applyNumberFormat="1" applyFont="1" applyFill="1" applyBorder="1" applyAlignment="1">
      <alignment horizontal="center" vertical="center" shrinkToFit="1"/>
    </xf>
    <xf numFmtId="176" fontId="0" fillId="0" borderId="180" xfId="0" applyNumberFormat="1" applyFont="1" applyBorder="1" applyAlignment="1">
      <alignment horizontal="center" vertical="center" shrinkToFit="1"/>
    </xf>
    <xf numFmtId="176" fontId="0" fillId="0" borderId="242" xfId="0" applyNumberFormat="1" applyFont="1" applyBorder="1" applyAlignment="1">
      <alignment horizontal="center" vertical="center" shrinkToFit="1"/>
    </xf>
    <xf numFmtId="176" fontId="0" fillId="0" borderId="179" xfId="0" applyNumberFormat="1" applyFont="1" applyBorder="1" applyAlignment="1">
      <alignment horizontal="center" vertical="center" shrinkToFit="1"/>
    </xf>
    <xf numFmtId="176" fontId="0" fillId="0" borderId="294" xfId="0" applyNumberFormat="1" applyFont="1" applyBorder="1" applyAlignment="1">
      <alignment horizontal="center" vertical="center" shrinkToFit="1"/>
    </xf>
    <xf numFmtId="176" fontId="0" fillId="0" borderId="106" xfId="0" applyNumberFormat="1" applyFont="1" applyBorder="1" applyAlignment="1">
      <alignment horizontal="center" vertical="center" textRotation="255" shrinkToFit="1"/>
    </xf>
    <xf numFmtId="176" fontId="0" fillId="0" borderId="246" xfId="0" applyNumberFormat="1" applyFont="1" applyBorder="1" applyAlignment="1">
      <alignment horizontal="center" vertical="center" textRotation="255" shrinkToFit="1"/>
    </xf>
    <xf numFmtId="177" fontId="0" fillId="0" borderId="176" xfId="0" applyNumberFormat="1" applyFont="1" applyBorder="1" applyAlignment="1">
      <alignment horizontal="center" vertical="center" shrinkToFit="1"/>
    </xf>
    <xf numFmtId="177" fontId="0" fillId="0" borderId="163" xfId="0" applyNumberFormat="1" applyFont="1" applyFill="1" applyBorder="1" applyAlignment="1">
      <alignment horizontal="center" vertical="center" shrinkToFit="1"/>
    </xf>
    <xf numFmtId="177" fontId="0" fillId="0" borderId="52" xfId="0" applyNumberFormat="1" applyFont="1" applyFill="1" applyBorder="1" applyAlignment="1">
      <alignment horizontal="center" vertical="center" shrinkToFit="1"/>
    </xf>
    <xf numFmtId="176" fontId="0" fillId="0" borderId="127" xfId="0" applyNumberFormat="1" applyFont="1" applyBorder="1" applyAlignment="1">
      <alignment horizontal="center" vertical="center" textRotation="255" shrinkToFit="1"/>
    </xf>
    <xf numFmtId="176" fontId="0" fillId="0" borderId="33" xfId="0" applyNumberFormat="1" applyFont="1" applyBorder="1" applyAlignment="1">
      <alignment horizontal="center" vertical="center" textRotation="255" shrinkToFit="1"/>
    </xf>
    <xf numFmtId="176" fontId="0" fillId="0" borderId="122" xfId="0" applyNumberFormat="1" applyFont="1" applyBorder="1" applyAlignment="1">
      <alignment horizontal="center" vertical="center" textRotation="255" shrinkToFit="1"/>
    </xf>
    <xf numFmtId="177" fontId="0" fillId="0" borderId="155" xfId="3" applyNumberFormat="1" applyFont="1" applyBorder="1" applyAlignment="1">
      <alignment horizontal="center" vertical="center" textRotation="255" shrinkToFit="1"/>
    </xf>
    <xf numFmtId="177" fontId="0" fillId="0" borderId="98" xfId="3" applyNumberFormat="1" applyFont="1" applyBorder="1" applyAlignment="1">
      <alignment horizontal="center" vertical="center" textRotation="255" shrinkToFit="1"/>
    </xf>
    <xf numFmtId="176" fontId="0" fillId="0" borderId="158" xfId="3" applyNumberFormat="1" applyFont="1" applyFill="1" applyBorder="1" applyAlignment="1">
      <alignment vertical="center" shrinkToFit="1"/>
    </xf>
    <xf numFmtId="176" fontId="0" fillId="0" borderId="159" xfId="3" applyNumberFormat="1" applyFont="1" applyFill="1" applyBorder="1" applyAlignment="1">
      <alignment vertical="center" shrinkToFit="1"/>
    </xf>
    <xf numFmtId="176" fontId="0" fillId="0" borderId="240" xfId="3" applyNumberFormat="1" applyFont="1" applyFill="1" applyBorder="1" applyAlignment="1">
      <alignment vertical="center" shrinkToFit="1"/>
    </xf>
    <xf numFmtId="176" fontId="0" fillId="0" borderId="241" xfId="3" applyNumberFormat="1" applyFont="1" applyFill="1" applyBorder="1" applyAlignment="1">
      <alignment vertical="center" shrinkToFit="1"/>
    </xf>
    <xf numFmtId="177" fontId="0" fillId="2" borderId="83" xfId="0" applyNumberFormat="1" applyFont="1" applyFill="1" applyBorder="1" applyAlignment="1">
      <alignment horizontal="center" vertical="center" shrinkToFit="1"/>
    </xf>
    <xf numFmtId="177" fontId="0" fillId="2" borderId="84" xfId="0" applyNumberFormat="1" applyFont="1" applyFill="1" applyBorder="1" applyAlignment="1">
      <alignment horizontal="center" vertical="center" shrinkToFit="1"/>
    </xf>
    <xf numFmtId="176" fontId="0" fillId="2" borderId="125" xfId="0" applyNumberFormat="1" applyFont="1" applyFill="1" applyBorder="1" applyAlignment="1">
      <alignment horizontal="center" vertical="center" shrinkToFit="1"/>
    </xf>
    <xf numFmtId="176" fontId="0" fillId="2" borderId="84" xfId="0" applyNumberFormat="1" applyFont="1" applyFill="1" applyBorder="1" applyAlignment="1">
      <alignment horizontal="center" vertical="center" shrinkToFit="1"/>
    </xf>
    <xf numFmtId="176" fontId="0" fillId="0" borderId="34" xfId="3" applyNumberFormat="1" applyFont="1" applyFill="1" applyBorder="1" applyAlignment="1">
      <alignment vertical="center" shrinkToFit="1"/>
    </xf>
    <xf numFmtId="176" fontId="0" fillId="0" borderId="41" xfId="3" applyNumberFormat="1" applyFont="1" applyFill="1" applyBorder="1" applyAlignment="1">
      <alignment vertical="center" shrinkToFit="1"/>
    </xf>
    <xf numFmtId="176" fontId="0" fillId="0" borderId="34" xfId="0" applyNumberFormat="1" applyFont="1" applyFill="1" applyBorder="1" applyAlignment="1">
      <alignment vertical="center"/>
    </xf>
    <xf numFmtId="176" fontId="0" fillId="0" borderId="41" xfId="0" applyNumberFormat="1" applyFont="1" applyFill="1" applyBorder="1" applyAlignment="1">
      <alignment vertical="center"/>
    </xf>
    <xf numFmtId="176" fontId="0" fillId="2" borderId="162" xfId="0" applyNumberFormat="1" applyFont="1" applyFill="1" applyBorder="1" applyAlignment="1">
      <alignment vertical="center" shrinkToFit="1"/>
    </xf>
    <xf numFmtId="176" fontId="0" fillId="0" borderId="162" xfId="0" applyNumberFormat="1" applyFont="1" applyBorder="1" applyAlignment="1">
      <alignment vertical="center"/>
    </xf>
    <xf numFmtId="176" fontId="0" fillId="2" borderId="53" xfId="0" applyNumberFormat="1" applyFont="1" applyFill="1" applyBorder="1" applyAlignment="1">
      <alignment vertical="center" shrinkToFit="1"/>
    </xf>
    <xf numFmtId="176" fontId="0" fillId="0" borderId="53" xfId="0" applyNumberFormat="1" applyFont="1" applyBorder="1" applyAlignment="1">
      <alignment vertical="center"/>
    </xf>
    <xf numFmtId="176" fontId="0" fillId="0" borderId="156" xfId="0" applyNumberFormat="1" applyFont="1" applyBorder="1" applyAlignment="1">
      <alignment vertical="center"/>
    </xf>
    <xf numFmtId="177" fontId="0" fillId="0" borderId="153" xfId="3" applyNumberFormat="1" applyFont="1" applyBorder="1" applyAlignment="1">
      <alignment horizontal="center" vertical="center" textRotation="255" shrinkToFit="1"/>
    </xf>
    <xf numFmtId="176" fontId="0" fillId="0" borderId="295" xfId="0" applyNumberFormat="1" applyFont="1" applyBorder="1" applyAlignment="1">
      <alignment horizontal="center" vertical="center" textRotation="255" shrinkToFit="1"/>
    </xf>
    <xf numFmtId="176" fontId="0" fillId="0" borderId="200" xfId="0" applyNumberFormat="1" applyFont="1" applyBorder="1" applyAlignment="1">
      <alignment horizontal="center" vertical="center" textRotation="255" shrinkToFit="1"/>
    </xf>
    <xf numFmtId="176" fontId="0" fillId="0" borderId="213" xfId="0" applyNumberFormat="1" applyFont="1" applyBorder="1" applyAlignment="1">
      <alignment horizontal="center" vertical="center" textRotation="255" shrinkToFit="1"/>
    </xf>
    <xf numFmtId="177" fontId="0" fillId="2" borderId="125" xfId="0" applyNumberFormat="1" applyFont="1" applyFill="1" applyBorder="1" applyAlignment="1">
      <alignment horizontal="center" vertical="center" shrinkToFit="1"/>
    </xf>
    <xf numFmtId="176" fontId="0" fillId="0" borderId="228" xfId="0" applyNumberFormat="1" applyFont="1" applyBorder="1" applyAlignment="1">
      <alignment horizontal="center" vertical="center" textRotation="255" shrinkToFit="1"/>
    </xf>
    <xf numFmtId="176" fontId="0" fillId="0" borderId="237" xfId="0" applyNumberFormat="1" applyFont="1" applyBorder="1" applyAlignment="1">
      <alignment horizontal="center" vertical="center" textRotation="255" shrinkToFit="1"/>
    </xf>
    <xf numFmtId="176" fontId="0" fillId="0" borderId="231" xfId="0" applyNumberFormat="1" applyFont="1" applyBorder="1" applyAlignment="1">
      <alignment horizontal="center" vertical="center" shrinkToFit="1"/>
    </xf>
    <xf numFmtId="176" fontId="0" fillId="0" borderId="231" xfId="0" applyNumberFormat="1" applyFont="1" applyFill="1" applyBorder="1" applyAlignment="1">
      <alignment horizontal="center" vertical="center" shrinkToFit="1"/>
    </xf>
    <xf numFmtId="176" fontId="0" fillId="0" borderId="232" xfId="0" applyNumberFormat="1" applyFont="1" applyBorder="1" applyAlignment="1">
      <alignment horizontal="center" vertical="center" shrinkToFit="1"/>
    </xf>
    <xf numFmtId="176" fontId="0" fillId="0" borderId="34" xfId="0" applyNumberFormat="1" applyFont="1" applyBorder="1" applyAlignment="1">
      <alignment vertical="center"/>
    </xf>
    <xf numFmtId="176" fontId="0" fillId="0" borderId="41" xfId="0" applyNumberFormat="1" applyFont="1" applyBorder="1" applyAlignment="1">
      <alignment vertical="center"/>
    </xf>
    <xf numFmtId="176" fontId="0" fillId="2" borderId="235" xfId="0" applyNumberFormat="1" applyFont="1" applyFill="1" applyBorder="1" applyAlignment="1">
      <alignment vertical="center" shrinkToFit="1"/>
    </xf>
    <xf numFmtId="176" fontId="0" fillId="2" borderId="236" xfId="0" applyNumberFormat="1" applyFont="1" applyFill="1" applyBorder="1" applyAlignment="1">
      <alignment vertical="center" shrinkToFit="1"/>
    </xf>
    <xf numFmtId="176" fontId="0" fillId="2" borderId="229" xfId="0" applyNumberFormat="1" applyFont="1" applyFill="1" applyBorder="1" applyAlignment="1">
      <alignment vertical="center" shrinkToFit="1"/>
    </xf>
    <xf numFmtId="176" fontId="0" fillId="2" borderId="230" xfId="0" applyNumberFormat="1" applyFont="1" applyFill="1" applyBorder="1" applyAlignment="1">
      <alignment vertical="center" shrinkToFit="1"/>
    </xf>
    <xf numFmtId="177" fontId="0" fillId="0" borderId="168" xfId="3" applyNumberFormat="1" applyFont="1" applyBorder="1" applyAlignment="1">
      <alignment horizontal="center" vertical="center" textRotation="255" shrinkToFit="1"/>
    </xf>
    <xf numFmtId="176" fontId="0" fillId="0" borderId="158" xfId="0" applyNumberFormat="1" applyFont="1" applyBorder="1" applyAlignment="1">
      <alignment vertical="center"/>
    </xf>
    <xf numFmtId="176" fontId="0" fillId="0" borderId="159" xfId="0" applyNumberFormat="1" applyFont="1" applyBorder="1" applyAlignment="1">
      <alignment vertical="center"/>
    </xf>
    <xf numFmtId="177" fontId="0" fillId="2" borderId="274" xfId="0" applyNumberFormat="1" applyFont="1" applyFill="1" applyBorder="1" applyAlignment="1">
      <alignment horizontal="center" vertical="center" shrinkToFit="1"/>
    </xf>
    <xf numFmtId="177" fontId="0" fillId="2" borderId="275" xfId="0" applyNumberFormat="1" applyFont="1" applyFill="1" applyBorder="1" applyAlignment="1">
      <alignment horizontal="center" vertical="center" shrinkToFit="1"/>
    </xf>
    <xf numFmtId="177" fontId="0" fillId="0" borderId="245" xfId="3" applyNumberFormat="1" applyFont="1" applyBorder="1" applyAlignment="1">
      <alignment horizontal="center" vertical="center" textRotation="255" shrinkToFit="1"/>
    </xf>
    <xf numFmtId="176" fontId="0" fillId="0" borderId="209" xfId="0" applyNumberFormat="1" applyFont="1" applyBorder="1" applyAlignment="1">
      <alignment horizontal="center" vertical="center" textRotation="255" shrinkToFit="1"/>
    </xf>
    <xf numFmtId="176" fontId="0" fillId="0" borderId="249" xfId="3" applyNumberFormat="1" applyFont="1" applyFill="1" applyBorder="1" applyAlignment="1">
      <alignment vertical="center" shrinkToFit="1"/>
    </xf>
    <xf numFmtId="176" fontId="0" fillId="0" borderId="250" xfId="3" applyNumberFormat="1" applyFont="1" applyFill="1" applyBorder="1" applyAlignment="1">
      <alignment vertical="center" shrinkToFit="1"/>
    </xf>
    <xf numFmtId="177" fontId="0" fillId="2" borderId="164" xfId="0" applyNumberFormat="1" applyFont="1" applyFill="1" applyBorder="1" applyAlignment="1">
      <alignment horizontal="center" vertical="center" shrinkToFit="1"/>
    </xf>
    <xf numFmtId="177" fontId="0" fillId="2" borderId="165" xfId="0" applyNumberFormat="1" applyFont="1" applyFill="1" applyBorder="1" applyAlignment="1">
      <alignment horizontal="center" vertical="center" shrinkToFit="1"/>
    </xf>
    <xf numFmtId="3" fontId="0" fillId="0" borderId="182" xfId="5" applyNumberFormat="1" applyFont="1" applyFill="1" applyBorder="1" applyAlignment="1">
      <alignment horizontal="center" vertical="center" shrinkToFit="1"/>
    </xf>
    <xf numFmtId="177" fontId="0" fillId="0" borderId="169" xfId="3" applyNumberFormat="1" applyFont="1" applyBorder="1" applyAlignment="1">
      <alignment horizontal="center" vertical="center" shrinkToFit="1"/>
    </xf>
    <xf numFmtId="176" fontId="1" fillId="0" borderId="156" xfId="0" applyNumberFormat="1" applyFont="1" applyBorder="1" applyAlignment="1">
      <alignment vertical="center"/>
    </xf>
    <xf numFmtId="0" fontId="0" fillId="0" borderId="105" xfId="0" applyFont="1" applyBorder="1">
      <alignment vertical="center"/>
    </xf>
    <xf numFmtId="0" fontId="0" fillId="0" borderId="161" xfId="0" applyFont="1" applyBorder="1">
      <alignment vertical="center"/>
    </xf>
    <xf numFmtId="176" fontId="0" fillId="0" borderId="139" xfId="0" applyNumberFormat="1" applyFont="1" applyBorder="1" applyAlignment="1">
      <alignment horizontal="center" vertical="center" textRotation="255" shrinkToFit="1"/>
    </xf>
    <xf numFmtId="176" fontId="0" fillId="0" borderId="181" xfId="0" applyNumberFormat="1" applyFont="1" applyBorder="1" applyAlignment="1">
      <alignment horizontal="center" vertical="center" textRotation="255" shrinkToFit="1"/>
    </xf>
    <xf numFmtId="176" fontId="0" fillId="0" borderId="187" xfId="0" applyNumberFormat="1" applyFont="1" applyBorder="1" applyAlignment="1">
      <alignment horizontal="center" vertical="center" shrinkToFit="1"/>
    </xf>
    <xf numFmtId="176" fontId="0" fillId="0" borderId="182" xfId="0" applyNumberFormat="1" applyFont="1" applyBorder="1" applyAlignment="1">
      <alignment horizontal="center" vertical="center" shrinkToFit="1"/>
    </xf>
    <xf numFmtId="176" fontId="0" fillId="0" borderId="188" xfId="0" applyNumberFormat="1" applyFont="1" applyBorder="1" applyAlignment="1">
      <alignment horizontal="center" vertical="center" shrinkToFit="1"/>
    </xf>
    <xf numFmtId="176" fontId="0" fillId="0" borderId="183" xfId="0" applyNumberFormat="1" applyFont="1" applyBorder="1" applyAlignment="1">
      <alignment horizontal="center" vertical="center" shrinkToFit="1"/>
    </xf>
    <xf numFmtId="177" fontId="14" fillId="0" borderId="163" xfId="0" applyNumberFormat="1" applyFont="1" applyBorder="1" applyAlignment="1">
      <alignment horizontal="center" vertical="center" shrinkToFit="1"/>
    </xf>
    <xf numFmtId="177" fontId="14" fillId="0" borderId="52" xfId="0" applyNumberFormat="1" applyFont="1" applyBorder="1" applyAlignment="1">
      <alignment horizontal="center" vertical="center" shrinkToFit="1"/>
    </xf>
  </cellXfs>
  <cellStyles count="11">
    <cellStyle name="パーセント" xfId="4" builtinId="5"/>
    <cellStyle name="パーセント 2" xfId="6"/>
    <cellStyle name="ハイパーリンク_20101209　経営改善計画検討手順（素案）" xfId="7"/>
    <cellStyle name="桁区切り" xfId="1" builtinId="6"/>
    <cellStyle name="桁区切り 2" xfId="8"/>
    <cellStyle name="標準" xfId="0" builtinId="0"/>
    <cellStyle name="標準 2" xfId="9"/>
    <cellStyle name="標準_◇類型12（水稲24・大豆12・ぶどう4）" xfId="2"/>
    <cellStyle name="標準_水稲(24ha規模)＋大豆(6ｈａ)＋きゃべつ" xfId="3"/>
    <cellStyle name="標準_野菜計画(最終 ｱｽﾊﾟﾗ+ｺﾏﾂﾅ)" xfId="5"/>
    <cellStyle name="未定義" xfId="1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9528</xdr:colOff>
      <xdr:row>20</xdr:row>
      <xdr:rowOff>0</xdr:rowOff>
    </xdr:from>
    <xdr:to>
      <xdr:col>28</xdr:col>
      <xdr:colOff>13747</xdr:colOff>
      <xdr:row>21</xdr:row>
      <xdr:rowOff>4350</xdr:rowOff>
    </xdr:to>
    <xdr:sp macro="" textlink="">
      <xdr:nvSpPr>
        <xdr:cNvPr id="5128" name="Rectangle 8" descr="10%"/>
        <xdr:cNvSpPr>
          <a:spLocks noChangeArrowheads="1"/>
        </xdr:cNvSpPr>
      </xdr:nvSpPr>
      <xdr:spPr bwMode="auto">
        <a:xfrm>
          <a:off x="8939216" y="5072063"/>
          <a:ext cx="540000" cy="254381"/>
        </a:xfrm>
        <a:prstGeom prst="rect">
          <a:avLst/>
        </a:prstGeom>
        <a:solidFill>
          <a:schemeClr val="tx1"/>
        </a:solidFill>
        <a:ln w="3175">
          <a:solidFill>
            <a:srgbClr val="000000"/>
          </a:solidFill>
          <a:miter lim="800000"/>
          <a:headEnd/>
          <a:tailEnd/>
        </a:ln>
      </xdr:spPr>
    </xdr:sp>
    <xdr:clientData/>
  </xdr:twoCellAnchor>
  <xdr:twoCellAnchor>
    <xdr:from>
      <xdr:col>6</xdr:col>
      <xdr:colOff>9525</xdr:colOff>
      <xdr:row>15</xdr:row>
      <xdr:rowOff>128589</xdr:rowOff>
    </xdr:from>
    <xdr:to>
      <xdr:col>42</xdr:col>
      <xdr:colOff>0</xdr:colOff>
      <xdr:row>15</xdr:row>
      <xdr:rowOff>130969</xdr:rowOff>
    </xdr:to>
    <xdr:cxnSp macro="">
      <xdr:nvCxnSpPr>
        <xdr:cNvPr id="5" name="直線コネクタ 4"/>
        <xdr:cNvCxnSpPr/>
      </xdr:nvCxnSpPr>
      <xdr:spPr>
        <a:xfrm>
          <a:off x="3352800" y="3424239"/>
          <a:ext cx="9620250" cy="2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250032</xdr:colOff>
      <xdr:row>14</xdr:row>
      <xdr:rowOff>130969</xdr:rowOff>
    </xdr:from>
    <xdr:to>
      <xdr:col>41</xdr:col>
      <xdr:colOff>238125</xdr:colOff>
      <xdr:row>14</xdr:row>
      <xdr:rowOff>130970</xdr:rowOff>
    </xdr:to>
    <xdr:cxnSp macro="">
      <xdr:nvCxnSpPr>
        <xdr:cNvPr id="6" name="直線コネクタ 5"/>
        <xdr:cNvCxnSpPr/>
      </xdr:nvCxnSpPr>
      <xdr:spPr>
        <a:xfrm flipV="1">
          <a:off x="6822282" y="3178969"/>
          <a:ext cx="6122193"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142875</xdr:colOff>
      <xdr:row>15</xdr:row>
      <xdr:rowOff>35722</xdr:rowOff>
    </xdr:from>
    <xdr:to>
      <xdr:col>34</xdr:col>
      <xdr:colOff>250031</xdr:colOff>
      <xdr:row>15</xdr:row>
      <xdr:rowOff>226219</xdr:rowOff>
    </xdr:to>
    <xdr:sp macro="" textlink="">
      <xdr:nvSpPr>
        <xdr:cNvPr id="7" name="Rectangle 8" descr="10%"/>
        <xdr:cNvSpPr>
          <a:spLocks noChangeArrowheads="1"/>
        </xdr:cNvSpPr>
      </xdr:nvSpPr>
      <xdr:spPr bwMode="auto">
        <a:xfrm>
          <a:off x="6181725" y="3331372"/>
          <a:ext cx="4907756" cy="190497"/>
        </a:xfrm>
        <a:prstGeom prst="rect">
          <a:avLst/>
        </a:prstGeom>
        <a:solidFill>
          <a:schemeClr val="tx1"/>
        </a:solidFill>
        <a:ln w="3175">
          <a:solidFill>
            <a:srgbClr val="000000"/>
          </a:solidFill>
          <a:miter lim="800000"/>
          <a:headEnd/>
          <a:tailEnd/>
        </a:ln>
      </xdr:spPr>
    </xdr:sp>
    <xdr:clientData/>
  </xdr:twoCellAnchor>
  <xdr:twoCellAnchor>
    <xdr:from>
      <xdr:col>6</xdr:col>
      <xdr:colOff>9525</xdr:colOff>
      <xdr:row>17</xdr:row>
      <xdr:rowOff>128589</xdr:rowOff>
    </xdr:from>
    <xdr:to>
      <xdr:col>42</xdr:col>
      <xdr:colOff>0</xdr:colOff>
      <xdr:row>17</xdr:row>
      <xdr:rowOff>130969</xdr:rowOff>
    </xdr:to>
    <xdr:cxnSp macro="">
      <xdr:nvCxnSpPr>
        <xdr:cNvPr id="8" name="直線コネクタ 7"/>
        <xdr:cNvCxnSpPr/>
      </xdr:nvCxnSpPr>
      <xdr:spPr>
        <a:xfrm>
          <a:off x="3352800" y="3424239"/>
          <a:ext cx="9620250" cy="23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178594</xdr:colOff>
      <xdr:row>16</xdr:row>
      <xdr:rowOff>119063</xdr:rowOff>
    </xdr:from>
    <xdr:to>
      <xdr:col>42</xdr:col>
      <xdr:colOff>0</xdr:colOff>
      <xdr:row>16</xdr:row>
      <xdr:rowOff>119063</xdr:rowOff>
    </xdr:to>
    <xdr:cxnSp macro="">
      <xdr:nvCxnSpPr>
        <xdr:cNvPr id="9" name="直線コネクタ 8"/>
        <xdr:cNvCxnSpPr/>
      </xdr:nvCxnSpPr>
      <xdr:spPr>
        <a:xfrm>
          <a:off x="5950744" y="3167063"/>
          <a:ext cx="70223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226219</xdr:colOff>
      <xdr:row>17</xdr:row>
      <xdr:rowOff>35722</xdr:rowOff>
    </xdr:from>
    <xdr:to>
      <xdr:col>34</xdr:col>
      <xdr:colOff>250031</xdr:colOff>
      <xdr:row>17</xdr:row>
      <xdr:rowOff>226220</xdr:rowOff>
    </xdr:to>
    <xdr:sp macro="" textlink="">
      <xdr:nvSpPr>
        <xdr:cNvPr id="10" name="Rectangle 8" descr="10%"/>
        <xdr:cNvSpPr>
          <a:spLocks noChangeArrowheads="1"/>
        </xdr:cNvSpPr>
      </xdr:nvSpPr>
      <xdr:spPr bwMode="auto">
        <a:xfrm>
          <a:off x="5198269" y="3331372"/>
          <a:ext cx="5891212" cy="190498"/>
        </a:xfrm>
        <a:prstGeom prst="rect">
          <a:avLst/>
        </a:prstGeom>
        <a:solidFill>
          <a:schemeClr val="tx1"/>
        </a:solidFill>
        <a:ln w="3175">
          <a:solidFill>
            <a:srgbClr val="000000"/>
          </a:solidFill>
          <a:miter lim="800000"/>
          <a:headEnd/>
          <a:tailEnd/>
        </a:ln>
      </xdr:spPr>
    </xdr:sp>
    <xdr:clientData/>
  </xdr:twoCellAnchor>
  <xdr:twoCellAnchor>
    <xdr:from>
      <xdr:col>30</xdr:col>
      <xdr:colOff>45245</xdr:colOff>
      <xdr:row>16</xdr:row>
      <xdr:rowOff>33340</xdr:rowOff>
    </xdr:from>
    <xdr:to>
      <xdr:col>34</xdr:col>
      <xdr:colOff>250032</xdr:colOff>
      <xdr:row>16</xdr:row>
      <xdr:rowOff>226219</xdr:rowOff>
    </xdr:to>
    <xdr:sp macro="" textlink="">
      <xdr:nvSpPr>
        <xdr:cNvPr id="11" name="Rectangle 8" descr="10%"/>
        <xdr:cNvSpPr>
          <a:spLocks noChangeArrowheads="1"/>
        </xdr:cNvSpPr>
      </xdr:nvSpPr>
      <xdr:spPr bwMode="auto">
        <a:xfrm>
          <a:off x="9817895" y="3081340"/>
          <a:ext cx="1271587" cy="192879"/>
        </a:xfrm>
        <a:prstGeom prst="rect">
          <a:avLst/>
        </a:prstGeom>
        <a:solidFill>
          <a:schemeClr val="tx1"/>
        </a:solidFill>
        <a:ln w="3175">
          <a:solidFill>
            <a:srgbClr val="000000"/>
          </a:solidFill>
          <a:miter lim="800000"/>
          <a:headEnd/>
          <a:tailEnd/>
        </a:ln>
      </xdr:spPr>
    </xdr:sp>
    <xdr:clientData/>
  </xdr:twoCellAnchor>
  <xdr:twoCellAnchor>
    <xdr:from>
      <xdr:col>29</xdr:col>
      <xdr:colOff>50800</xdr:colOff>
      <xdr:row>12</xdr:row>
      <xdr:rowOff>57152</xdr:rowOff>
    </xdr:from>
    <xdr:to>
      <xdr:col>34</xdr:col>
      <xdr:colOff>114300</xdr:colOff>
      <xdr:row>12</xdr:row>
      <xdr:rowOff>209552</xdr:rowOff>
    </xdr:to>
    <xdr:sp macro="" textlink="">
      <xdr:nvSpPr>
        <xdr:cNvPr id="12" name="Rectangle 8" descr="10%"/>
        <xdr:cNvSpPr>
          <a:spLocks noChangeArrowheads="1"/>
        </xdr:cNvSpPr>
      </xdr:nvSpPr>
      <xdr:spPr bwMode="auto">
        <a:xfrm>
          <a:off x="9556750" y="3105152"/>
          <a:ext cx="1397000" cy="152400"/>
        </a:xfrm>
        <a:prstGeom prst="rect">
          <a:avLst/>
        </a:prstGeom>
        <a:solidFill>
          <a:schemeClr val="tx1"/>
        </a:solidFill>
        <a:ln w="3175">
          <a:solidFill>
            <a:srgbClr val="000000"/>
          </a:solidFill>
          <a:miter lim="800000"/>
          <a:headEnd/>
          <a:tailEnd/>
        </a:ln>
      </xdr:spPr>
    </xdr:sp>
    <xdr:clientData/>
  </xdr:twoCellAnchor>
  <xdr:twoCellAnchor>
    <xdr:from>
      <xdr:col>32</xdr:col>
      <xdr:colOff>165100</xdr:colOff>
      <xdr:row>13</xdr:row>
      <xdr:rowOff>58741</xdr:rowOff>
    </xdr:from>
    <xdr:to>
      <xdr:col>33</xdr:col>
      <xdr:colOff>190499</xdr:colOff>
      <xdr:row>13</xdr:row>
      <xdr:rowOff>223841</xdr:rowOff>
    </xdr:to>
    <xdr:sp macro="" textlink="">
      <xdr:nvSpPr>
        <xdr:cNvPr id="13" name="Rectangle 8" descr="10%"/>
        <xdr:cNvSpPr>
          <a:spLocks noChangeArrowheads="1"/>
        </xdr:cNvSpPr>
      </xdr:nvSpPr>
      <xdr:spPr bwMode="auto">
        <a:xfrm>
          <a:off x="10471150" y="3354391"/>
          <a:ext cx="292099" cy="165100"/>
        </a:xfrm>
        <a:prstGeom prst="rect">
          <a:avLst/>
        </a:prstGeom>
        <a:solidFill>
          <a:schemeClr val="tx1"/>
        </a:solidFill>
        <a:ln w="3175">
          <a:solidFill>
            <a:srgbClr val="000000"/>
          </a:solidFill>
          <a:miter lim="800000"/>
          <a:headEnd/>
          <a:tailEnd/>
        </a:ln>
      </xdr:spPr>
    </xdr:sp>
    <xdr:clientData/>
  </xdr:twoCellAnchor>
  <xdr:twoCellAnchor>
    <xdr:from>
      <xdr:col>14</xdr:col>
      <xdr:colOff>180994</xdr:colOff>
      <xdr:row>12</xdr:row>
      <xdr:rowOff>133352</xdr:rowOff>
    </xdr:from>
    <xdr:to>
      <xdr:col>29</xdr:col>
      <xdr:colOff>50800</xdr:colOff>
      <xdr:row>12</xdr:row>
      <xdr:rowOff>136525</xdr:rowOff>
    </xdr:to>
    <xdr:cxnSp macro="">
      <xdr:nvCxnSpPr>
        <xdr:cNvPr id="14" name="直線コネクタ 13"/>
        <xdr:cNvCxnSpPr>
          <a:endCxn id="12" idx="1"/>
        </xdr:cNvCxnSpPr>
      </xdr:nvCxnSpPr>
      <xdr:spPr>
        <a:xfrm flipV="1">
          <a:off x="5686444" y="3181352"/>
          <a:ext cx="3870306" cy="31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180988</xdr:colOff>
      <xdr:row>13</xdr:row>
      <xdr:rowOff>139700</xdr:rowOff>
    </xdr:from>
    <xdr:to>
      <xdr:col>32</xdr:col>
      <xdr:colOff>165100</xdr:colOff>
      <xdr:row>13</xdr:row>
      <xdr:rowOff>141291</xdr:rowOff>
    </xdr:to>
    <xdr:cxnSp macro="">
      <xdr:nvCxnSpPr>
        <xdr:cNvPr id="15" name="直線コネクタ 14"/>
        <xdr:cNvCxnSpPr>
          <a:endCxn id="13" idx="1"/>
        </xdr:cNvCxnSpPr>
      </xdr:nvCxnSpPr>
      <xdr:spPr>
        <a:xfrm>
          <a:off x="6486538" y="3435350"/>
          <a:ext cx="3984612" cy="15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406400</xdr:colOff>
      <xdr:row>5</xdr:row>
      <xdr:rowOff>139700</xdr:rowOff>
    </xdr:from>
    <xdr:to>
      <xdr:col>25</xdr:col>
      <xdr:colOff>0</xdr:colOff>
      <xdr:row>5</xdr:row>
      <xdr:rowOff>139700</xdr:rowOff>
    </xdr:to>
    <xdr:cxnSp macro="">
      <xdr:nvCxnSpPr>
        <xdr:cNvPr id="2" name="直線コネクタ 1"/>
        <xdr:cNvCxnSpPr/>
      </xdr:nvCxnSpPr>
      <xdr:spPr>
        <a:xfrm>
          <a:off x="8788400" y="1320800"/>
          <a:ext cx="3794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440531</xdr:colOff>
      <xdr:row>5</xdr:row>
      <xdr:rowOff>1</xdr:rowOff>
    </xdr:from>
    <xdr:to>
      <xdr:col>31</xdr:col>
      <xdr:colOff>11906</xdr:colOff>
      <xdr:row>6</xdr:row>
      <xdr:rowOff>11907</xdr:rowOff>
    </xdr:to>
    <xdr:sp macro="" textlink="">
      <xdr:nvSpPr>
        <xdr:cNvPr id="2" name="Rectangle 8" descr="10%"/>
        <xdr:cNvSpPr>
          <a:spLocks noChangeArrowheads="1"/>
        </xdr:cNvSpPr>
      </xdr:nvSpPr>
      <xdr:spPr bwMode="auto">
        <a:xfrm>
          <a:off x="5136356" y="1495426"/>
          <a:ext cx="10306050" cy="259556"/>
        </a:xfrm>
        <a:prstGeom prst="rect">
          <a:avLst/>
        </a:prstGeom>
        <a:solidFill>
          <a:schemeClr val="tx1"/>
        </a:solidFill>
        <a:ln w="317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11906</xdr:colOff>
      <xdr:row>5</xdr:row>
      <xdr:rowOff>0</xdr:rowOff>
    </xdr:from>
    <xdr:to>
      <xdr:col>31</xdr:col>
      <xdr:colOff>11906</xdr:colOff>
      <xdr:row>6</xdr:row>
      <xdr:rowOff>23811</xdr:rowOff>
    </xdr:to>
    <xdr:sp macro="" textlink="">
      <xdr:nvSpPr>
        <xdr:cNvPr id="2" name="Rectangle 8" descr="10%"/>
        <xdr:cNvSpPr>
          <a:spLocks noChangeArrowheads="1"/>
        </xdr:cNvSpPr>
      </xdr:nvSpPr>
      <xdr:spPr bwMode="auto">
        <a:xfrm>
          <a:off x="7041356" y="1495425"/>
          <a:ext cx="8401050" cy="271461"/>
        </a:xfrm>
        <a:prstGeom prst="rect">
          <a:avLst/>
        </a:prstGeom>
        <a:solidFill>
          <a:schemeClr val="tx1"/>
        </a:solidFill>
        <a:ln w="317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1"/>
  <sheetViews>
    <sheetView tabSelected="1" zoomScale="75" zoomScaleNormal="75" zoomScaleSheetLayoutView="100" workbookViewId="0"/>
  </sheetViews>
  <sheetFormatPr defaultRowHeight="13.5" x14ac:dyDescent="0.15"/>
  <cols>
    <col min="1" max="1" width="1.625" style="70" customWidth="1"/>
    <col min="2" max="3" width="7.625" style="70" customWidth="1"/>
    <col min="4" max="6" width="9" style="70"/>
    <col min="7" max="7" width="3.5" style="70" customWidth="1"/>
    <col min="8" max="8" width="3.625" style="70" customWidth="1"/>
    <col min="9" max="9" width="3.75" style="70" customWidth="1"/>
    <col min="10" max="42" width="3.5" style="70" customWidth="1"/>
    <col min="43" max="43" width="1.375" style="70" customWidth="1"/>
    <col min="44" max="16384" width="9" style="70"/>
  </cols>
  <sheetData>
    <row r="1" spans="1:42" ht="9.9499999999999993" customHeight="1" thickBot="1" x14ac:dyDescent="0.2">
      <c r="B1" s="69"/>
      <c r="C1" s="69"/>
      <c r="D1" s="69"/>
      <c r="E1" s="69"/>
      <c r="F1" s="69"/>
      <c r="G1" s="69"/>
      <c r="H1" s="69"/>
      <c r="I1" s="69"/>
      <c r="J1" s="69"/>
      <c r="K1" s="69"/>
      <c r="L1" s="69"/>
    </row>
    <row r="2" spans="1:42" ht="39.950000000000003" customHeight="1" thickBot="1" x14ac:dyDescent="0.2">
      <c r="A2" s="76"/>
      <c r="B2" s="77" t="s">
        <v>90</v>
      </c>
      <c r="C2" s="849" t="s">
        <v>376</v>
      </c>
      <c r="D2" s="850"/>
      <c r="E2" s="227" t="s">
        <v>75</v>
      </c>
      <c r="F2" s="851" t="s">
        <v>701</v>
      </c>
      <c r="G2" s="852"/>
      <c r="H2" s="852"/>
      <c r="I2" s="852"/>
      <c r="J2" s="852"/>
      <c r="K2" s="852"/>
      <c r="L2" s="852"/>
      <c r="M2" s="852"/>
      <c r="N2" s="853"/>
      <c r="O2" s="861" t="s">
        <v>76</v>
      </c>
      <c r="P2" s="862"/>
      <c r="Q2" s="863"/>
      <c r="R2" s="864" t="s">
        <v>759</v>
      </c>
      <c r="S2" s="865"/>
      <c r="T2" s="865"/>
      <c r="U2" s="865"/>
      <c r="V2" s="866" t="s">
        <v>77</v>
      </c>
      <c r="W2" s="865"/>
      <c r="X2" s="865"/>
      <c r="Y2" s="858" t="s">
        <v>624</v>
      </c>
      <c r="Z2" s="859"/>
      <c r="AA2" s="860"/>
      <c r="AB2" s="78"/>
      <c r="AC2" s="78"/>
      <c r="AD2" s="78"/>
    </row>
    <row r="3" spans="1:42" ht="9.9499999999999993" customHeight="1" x14ac:dyDescent="0.15">
      <c r="B3" s="79"/>
    </row>
    <row r="4" spans="1:42" ht="24.95" customHeight="1" thickBot="1" x14ac:dyDescent="0.2">
      <c r="B4" s="70" t="s">
        <v>121</v>
      </c>
    </row>
    <row r="5" spans="1:42" ht="20.100000000000001" customHeight="1" x14ac:dyDescent="0.15">
      <c r="B5" s="854" t="s">
        <v>122</v>
      </c>
      <c r="C5" s="792"/>
      <c r="D5" s="855"/>
      <c r="E5" s="856"/>
      <c r="F5" s="856"/>
      <c r="G5" s="857"/>
      <c r="H5" s="791" t="s">
        <v>78</v>
      </c>
      <c r="I5" s="792"/>
      <c r="J5" s="792"/>
      <c r="K5" s="792"/>
      <c r="L5" s="792"/>
      <c r="M5" s="792"/>
      <c r="N5" s="792"/>
      <c r="O5" s="792"/>
      <c r="P5" s="792"/>
      <c r="Q5" s="792"/>
      <c r="R5" s="792"/>
      <c r="S5" s="792"/>
      <c r="T5" s="792"/>
      <c r="U5" s="792"/>
      <c r="V5" s="792"/>
      <c r="W5" s="792"/>
      <c r="X5" s="792"/>
      <c r="Y5" s="792"/>
      <c r="Z5" s="792"/>
      <c r="AA5" s="798"/>
      <c r="AD5" s="78"/>
      <c r="AE5" s="78"/>
      <c r="AF5" s="78"/>
      <c r="AG5" s="78"/>
      <c r="AH5" s="78"/>
      <c r="AI5" s="78"/>
      <c r="AJ5" s="78"/>
      <c r="AK5" s="78"/>
      <c r="AL5" s="78"/>
    </row>
    <row r="6" spans="1:42" ht="20.100000000000001" customHeight="1" x14ac:dyDescent="0.15">
      <c r="B6" s="813" t="s">
        <v>79</v>
      </c>
      <c r="C6" s="814"/>
      <c r="D6" s="814"/>
      <c r="E6" s="814"/>
      <c r="F6" s="814"/>
      <c r="G6" s="801"/>
      <c r="H6" s="801" t="s">
        <v>80</v>
      </c>
      <c r="I6" s="802"/>
      <c r="J6" s="802"/>
      <c r="K6" s="802"/>
      <c r="L6" s="802"/>
      <c r="M6" s="802"/>
      <c r="N6" s="801" t="s">
        <v>81</v>
      </c>
      <c r="O6" s="802"/>
      <c r="P6" s="802"/>
      <c r="Q6" s="801" t="s">
        <v>82</v>
      </c>
      <c r="R6" s="802"/>
      <c r="S6" s="802"/>
      <c r="T6" s="802"/>
      <c r="U6" s="802"/>
      <c r="V6" s="802"/>
      <c r="W6" s="802"/>
      <c r="X6" s="812"/>
      <c r="Y6" s="802" t="s">
        <v>83</v>
      </c>
      <c r="Z6" s="802"/>
      <c r="AA6" s="803"/>
    </row>
    <row r="7" spans="1:42" ht="20.100000000000001" customHeight="1" x14ac:dyDescent="0.15">
      <c r="B7" s="761" t="s">
        <v>84</v>
      </c>
      <c r="C7" s="817"/>
      <c r="D7" s="842" t="s">
        <v>533</v>
      </c>
      <c r="E7" s="746"/>
      <c r="F7" s="746"/>
      <c r="G7" s="746"/>
      <c r="H7" s="843" t="s">
        <v>10</v>
      </c>
      <c r="I7" s="844"/>
      <c r="J7" s="844"/>
      <c r="K7" s="844"/>
      <c r="L7" s="844"/>
      <c r="M7" s="845"/>
      <c r="N7" s="846">
        <f>SUM(F13:F14)</f>
        <v>26.7</v>
      </c>
      <c r="O7" s="847"/>
      <c r="P7" s="848"/>
      <c r="Q7" s="837"/>
      <c r="R7" s="838"/>
      <c r="S7" s="838"/>
      <c r="T7" s="838"/>
      <c r="U7" s="838"/>
      <c r="V7" s="838"/>
      <c r="W7" s="838"/>
      <c r="X7" s="839"/>
      <c r="Y7" s="840"/>
      <c r="Z7" s="840"/>
      <c r="AA7" s="841"/>
    </row>
    <row r="8" spans="1:42" ht="20.100000000000001" customHeight="1" x14ac:dyDescent="0.15">
      <c r="B8" s="813" t="s">
        <v>85</v>
      </c>
      <c r="C8" s="814"/>
      <c r="D8" s="815"/>
      <c r="E8" s="815"/>
      <c r="F8" s="815"/>
      <c r="G8" s="816"/>
      <c r="H8" s="801" t="s">
        <v>352</v>
      </c>
      <c r="I8" s="802"/>
      <c r="J8" s="802"/>
      <c r="K8" s="802"/>
      <c r="L8" s="802"/>
      <c r="M8" s="812"/>
      <c r="N8" s="801" t="s">
        <v>637</v>
      </c>
      <c r="O8" s="802"/>
      <c r="P8" s="812"/>
      <c r="Q8" s="804"/>
      <c r="R8" s="805"/>
      <c r="S8" s="805"/>
      <c r="T8" s="805"/>
      <c r="U8" s="805"/>
      <c r="V8" s="805"/>
      <c r="W8" s="805"/>
      <c r="X8" s="806"/>
      <c r="Y8" s="801"/>
      <c r="Z8" s="802"/>
      <c r="AA8" s="803"/>
    </row>
    <row r="9" spans="1:42" ht="20.100000000000001" customHeight="1" x14ac:dyDescent="0.15">
      <c r="B9" s="813" t="s">
        <v>86</v>
      </c>
      <c r="C9" s="814"/>
      <c r="D9" s="815"/>
      <c r="E9" s="815"/>
      <c r="F9" s="815"/>
      <c r="G9" s="816"/>
      <c r="H9" s="810" t="s">
        <v>347</v>
      </c>
      <c r="I9" s="811"/>
      <c r="J9" s="811"/>
      <c r="K9" s="811"/>
      <c r="L9" s="811"/>
      <c r="M9" s="812"/>
      <c r="N9" s="810" t="s">
        <v>349</v>
      </c>
      <c r="O9" s="811"/>
      <c r="P9" s="812"/>
      <c r="Q9" s="804"/>
      <c r="R9" s="805"/>
      <c r="S9" s="805"/>
      <c r="T9" s="805"/>
      <c r="U9" s="805"/>
      <c r="V9" s="805"/>
      <c r="W9" s="805"/>
      <c r="X9" s="806"/>
      <c r="Y9" s="801"/>
      <c r="Z9" s="802"/>
      <c r="AA9" s="803"/>
    </row>
    <row r="10" spans="1:42" ht="20.100000000000001" customHeight="1" x14ac:dyDescent="0.15">
      <c r="B10" s="813" t="s">
        <v>87</v>
      </c>
      <c r="C10" s="814"/>
      <c r="D10" s="815"/>
      <c r="E10" s="815"/>
      <c r="F10" s="815"/>
      <c r="G10" s="816"/>
      <c r="H10" s="807"/>
      <c r="I10" s="808"/>
      <c r="J10" s="808"/>
      <c r="K10" s="808"/>
      <c r="L10" s="808"/>
      <c r="M10" s="809"/>
      <c r="N10" s="810"/>
      <c r="O10" s="811"/>
      <c r="P10" s="812"/>
      <c r="Q10" s="804"/>
      <c r="R10" s="805"/>
      <c r="S10" s="805"/>
      <c r="T10" s="805"/>
      <c r="U10" s="805"/>
      <c r="V10" s="805"/>
      <c r="W10" s="805"/>
      <c r="X10" s="806"/>
      <c r="Y10" s="802"/>
      <c r="Z10" s="802"/>
      <c r="AA10" s="803"/>
    </row>
    <row r="11" spans="1:42" ht="20.100000000000001" customHeight="1" thickBot="1" x14ac:dyDescent="0.2">
      <c r="B11" s="762" t="s">
        <v>88</v>
      </c>
      <c r="C11" s="817"/>
      <c r="D11" s="818"/>
      <c r="E11" s="818"/>
      <c r="F11" s="818"/>
      <c r="G11" s="819"/>
      <c r="H11" s="820"/>
      <c r="I11" s="821"/>
      <c r="J11" s="821"/>
      <c r="K11" s="821"/>
      <c r="L11" s="821"/>
      <c r="M11" s="821"/>
      <c r="N11" s="796"/>
      <c r="O11" s="797"/>
      <c r="P11" s="797"/>
      <c r="Q11" s="833"/>
      <c r="R11" s="834"/>
      <c r="S11" s="834"/>
      <c r="T11" s="834"/>
      <c r="U11" s="834"/>
      <c r="V11" s="834"/>
      <c r="W11" s="834"/>
      <c r="X11" s="835"/>
      <c r="Y11" s="797"/>
      <c r="Z11" s="797"/>
      <c r="AA11" s="836"/>
    </row>
    <row r="12" spans="1:42" ht="20.100000000000001" customHeight="1" x14ac:dyDescent="0.15">
      <c r="B12" s="822" t="s">
        <v>119</v>
      </c>
      <c r="C12" s="791" t="s">
        <v>123</v>
      </c>
      <c r="D12" s="792"/>
      <c r="E12" s="793"/>
      <c r="F12" s="71" t="s">
        <v>120</v>
      </c>
      <c r="G12" s="791">
        <v>1</v>
      </c>
      <c r="H12" s="792"/>
      <c r="I12" s="792"/>
      <c r="J12" s="791">
        <v>2</v>
      </c>
      <c r="K12" s="792"/>
      <c r="L12" s="793"/>
      <c r="M12" s="792">
        <v>3</v>
      </c>
      <c r="N12" s="792"/>
      <c r="O12" s="795"/>
      <c r="P12" s="791">
        <v>4</v>
      </c>
      <c r="Q12" s="792"/>
      <c r="R12" s="793"/>
      <c r="S12" s="794">
        <v>5</v>
      </c>
      <c r="T12" s="792"/>
      <c r="U12" s="795"/>
      <c r="V12" s="791">
        <v>6</v>
      </c>
      <c r="W12" s="792"/>
      <c r="X12" s="793"/>
      <c r="Y12" s="794">
        <v>7</v>
      </c>
      <c r="Z12" s="792"/>
      <c r="AA12" s="795"/>
      <c r="AB12" s="791">
        <v>8</v>
      </c>
      <c r="AC12" s="792"/>
      <c r="AD12" s="793"/>
      <c r="AE12" s="794">
        <v>9</v>
      </c>
      <c r="AF12" s="792"/>
      <c r="AG12" s="795"/>
      <c r="AH12" s="791">
        <v>10</v>
      </c>
      <c r="AI12" s="792"/>
      <c r="AJ12" s="793"/>
      <c r="AK12" s="791">
        <v>11</v>
      </c>
      <c r="AL12" s="792"/>
      <c r="AM12" s="793"/>
      <c r="AN12" s="792">
        <v>12</v>
      </c>
      <c r="AO12" s="792"/>
      <c r="AP12" s="798"/>
    </row>
    <row r="13" spans="1:42" ht="20.100000000000001" customHeight="1" x14ac:dyDescent="0.15">
      <c r="B13" s="823"/>
      <c r="C13" s="470" t="s">
        <v>516</v>
      </c>
      <c r="D13" s="471"/>
      <c r="E13" s="472"/>
      <c r="F13" s="473">
        <f>AB27+AM27+AM28</f>
        <v>20</v>
      </c>
      <c r="G13" s="345"/>
      <c r="H13" s="346"/>
      <c r="I13" s="346"/>
      <c r="J13" s="345"/>
      <c r="K13" s="346"/>
      <c r="L13" s="80"/>
      <c r="M13" s="346"/>
      <c r="N13" s="346"/>
      <c r="O13" s="474" t="s">
        <v>517</v>
      </c>
      <c r="P13" s="345"/>
      <c r="Q13" s="346"/>
      <c r="R13" s="475" t="s">
        <v>518</v>
      </c>
      <c r="S13" s="338" t="s">
        <v>517</v>
      </c>
      <c r="T13" s="346"/>
      <c r="U13" s="474" t="s">
        <v>518</v>
      </c>
      <c r="V13" s="345"/>
      <c r="W13" s="346"/>
      <c r="X13" s="80"/>
      <c r="Y13" s="82"/>
      <c r="Z13" s="346"/>
      <c r="AA13" s="81"/>
      <c r="AB13" s="345"/>
      <c r="AC13" s="346"/>
      <c r="AD13" s="80"/>
      <c r="AE13" s="345"/>
      <c r="AF13" s="346"/>
      <c r="AG13" s="80"/>
      <c r="AH13" s="345"/>
      <c r="AI13" s="346"/>
      <c r="AJ13" s="80"/>
      <c r="AK13" s="345"/>
      <c r="AL13" s="346"/>
      <c r="AM13" s="80"/>
      <c r="AN13" s="346"/>
      <c r="AO13" s="346"/>
      <c r="AP13" s="347"/>
    </row>
    <row r="14" spans="1:42" ht="20.100000000000001" customHeight="1" x14ac:dyDescent="0.15">
      <c r="B14" s="823"/>
      <c r="C14" s="476" t="s">
        <v>519</v>
      </c>
      <c r="D14" s="471"/>
      <c r="E14" s="472"/>
      <c r="F14" s="559">
        <v>6.7</v>
      </c>
      <c r="G14" s="339"/>
      <c r="H14" s="340"/>
      <c r="I14" s="340"/>
      <c r="J14" s="339"/>
      <c r="K14" s="340"/>
      <c r="L14" s="83"/>
      <c r="M14" s="340"/>
      <c r="N14" s="340"/>
      <c r="O14" s="84"/>
      <c r="P14" s="339"/>
      <c r="Q14" s="340"/>
      <c r="R14" s="477" t="s">
        <v>517</v>
      </c>
      <c r="S14" s="85"/>
      <c r="T14" s="478" t="s">
        <v>518</v>
      </c>
      <c r="U14" s="84"/>
      <c r="V14" s="339"/>
      <c r="W14" s="340"/>
      <c r="X14" s="83"/>
      <c r="Y14" s="85"/>
      <c r="Z14" s="340"/>
      <c r="AA14" s="84"/>
      <c r="AB14" s="339"/>
      <c r="AC14" s="340"/>
      <c r="AD14" s="83"/>
      <c r="AE14" s="339"/>
      <c r="AF14" s="340"/>
      <c r="AG14" s="83"/>
      <c r="AH14" s="339"/>
      <c r="AI14" s="340"/>
      <c r="AJ14" s="83"/>
      <c r="AK14" s="339"/>
      <c r="AL14" s="340"/>
      <c r="AM14" s="83"/>
      <c r="AN14" s="340"/>
      <c r="AO14" s="340"/>
      <c r="AP14" s="341"/>
    </row>
    <row r="15" spans="1:42" ht="20.100000000000001" customHeight="1" x14ac:dyDescent="0.15">
      <c r="B15" s="823"/>
      <c r="C15" s="799" t="s">
        <v>625</v>
      </c>
      <c r="D15" s="800"/>
      <c r="E15" s="800"/>
      <c r="F15" s="708" t="s">
        <v>384</v>
      </c>
      <c r="G15" s="709"/>
      <c r="H15" s="710"/>
      <c r="I15" s="710"/>
      <c r="J15" s="709"/>
      <c r="K15" s="710"/>
      <c r="L15" s="711"/>
      <c r="M15" s="710"/>
      <c r="N15" s="710"/>
      <c r="O15" s="712"/>
      <c r="P15" s="713"/>
      <c r="Q15" s="710"/>
      <c r="R15" s="711"/>
      <c r="S15" s="714" t="s">
        <v>353</v>
      </c>
      <c r="T15" s="710"/>
      <c r="U15" s="712"/>
      <c r="V15" s="709"/>
      <c r="W15" s="710"/>
      <c r="X15" s="711"/>
      <c r="Y15" s="715"/>
      <c r="Z15" s="710"/>
      <c r="AA15" s="712"/>
      <c r="AB15" s="709"/>
      <c r="AC15" s="710"/>
      <c r="AD15" s="711"/>
      <c r="AE15" s="709"/>
      <c r="AF15" s="710"/>
      <c r="AG15" s="711"/>
      <c r="AH15" s="709"/>
      <c r="AI15" s="710"/>
      <c r="AJ15" s="711"/>
      <c r="AK15" s="709"/>
      <c r="AL15" s="710"/>
      <c r="AM15" s="711"/>
      <c r="AN15" s="710"/>
      <c r="AO15" s="710"/>
      <c r="AP15" s="716"/>
    </row>
    <row r="16" spans="1:42" ht="20.100000000000001" customHeight="1" x14ac:dyDescent="0.15">
      <c r="B16" s="823"/>
      <c r="C16" s="828" t="s">
        <v>626</v>
      </c>
      <c r="D16" s="829"/>
      <c r="E16" s="830"/>
      <c r="F16" s="701" t="s">
        <v>385</v>
      </c>
      <c r="G16" s="702"/>
      <c r="H16" s="703"/>
      <c r="I16" s="703"/>
      <c r="J16" s="702"/>
      <c r="K16" s="703"/>
      <c r="L16" s="704"/>
      <c r="M16" s="703"/>
      <c r="N16" s="703"/>
      <c r="O16" s="705"/>
      <c r="P16" s="702"/>
      <c r="Q16" s="703"/>
      <c r="R16" s="704"/>
      <c r="S16" s="706"/>
      <c r="T16" s="703"/>
      <c r="U16" s="705"/>
      <c r="V16" s="702"/>
      <c r="W16" s="703"/>
      <c r="X16" s="704"/>
      <c r="Y16" s="706"/>
      <c r="Z16" s="703"/>
      <c r="AA16" s="705"/>
      <c r="AB16" s="702"/>
      <c r="AC16" s="703"/>
      <c r="AD16" s="704"/>
      <c r="AE16" s="702"/>
      <c r="AF16" s="703"/>
      <c r="AG16" s="704"/>
      <c r="AH16" s="702"/>
      <c r="AI16" s="703"/>
      <c r="AJ16" s="704"/>
      <c r="AK16" s="702"/>
      <c r="AL16" s="703"/>
      <c r="AM16" s="704"/>
      <c r="AN16" s="703"/>
      <c r="AO16" s="703"/>
      <c r="AP16" s="707"/>
    </row>
    <row r="17" spans="2:42" ht="20.100000000000001" customHeight="1" x14ac:dyDescent="0.15">
      <c r="B17" s="823"/>
      <c r="C17" s="825" t="s">
        <v>354</v>
      </c>
      <c r="D17" s="826"/>
      <c r="E17" s="827"/>
      <c r="F17" s="708" t="s">
        <v>386</v>
      </c>
      <c r="G17" s="709"/>
      <c r="H17" s="710"/>
      <c r="I17" s="710"/>
      <c r="J17" s="709"/>
      <c r="K17" s="710"/>
      <c r="L17" s="711"/>
      <c r="M17" s="710"/>
      <c r="N17" s="710"/>
      <c r="O17" s="712"/>
      <c r="P17" s="713" t="s">
        <v>355</v>
      </c>
      <c r="Q17" s="710"/>
      <c r="R17" s="711"/>
      <c r="S17" s="715"/>
      <c r="T17" s="710"/>
      <c r="U17" s="712"/>
      <c r="V17" s="709"/>
      <c r="W17" s="710"/>
      <c r="X17" s="711"/>
      <c r="Y17" s="715"/>
      <c r="Z17" s="710"/>
      <c r="AA17" s="712"/>
      <c r="AB17" s="709"/>
      <c r="AC17" s="710"/>
      <c r="AD17" s="711"/>
      <c r="AE17" s="709"/>
      <c r="AF17" s="710"/>
      <c r="AG17" s="711"/>
      <c r="AH17" s="709"/>
      <c r="AI17" s="710"/>
      <c r="AJ17" s="711"/>
      <c r="AK17" s="709"/>
      <c r="AL17" s="710"/>
      <c r="AM17" s="711"/>
      <c r="AN17" s="710"/>
      <c r="AO17" s="710"/>
      <c r="AP17" s="716"/>
    </row>
    <row r="18" spans="2:42" ht="20.100000000000001" customHeight="1" x14ac:dyDescent="0.15">
      <c r="B18" s="823"/>
      <c r="C18" s="828" t="s">
        <v>356</v>
      </c>
      <c r="D18" s="829"/>
      <c r="E18" s="830"/>
      <c r="F18" s="717" t="s">
        <v>386</v>
      </c>
      <c r="G18" s="702"/>
      <c r="H18" s="703"/>
      <c r="I18" s="703"/>
      <c r="J18" s="702"/>
      <c r="K18" s="703"/>
      <c r="L18" s="704"/>
      <c r="M18" s="703"/>
      <c r="N18" s="703"/>
      <c r="O18" s="705"/>
      <c r="P18" s="702"/>
      <c r="Q18" s="703"/>
      <c r="R18" s="704"/>
      <c r="S18" s="706"/>
      <c r="T18" s="703"/>
      <c r="U18" s="705"/>
      <c r="V18" s="702"/>
      <c r="W18" s="703"/>
      <c r="X18" s="704"/>
      <c r="Y18" s="706"/>
      <c r="Z18" s="703"/>
      <c r="AA18" s="705"/>
      <c r="AB18" s="702"/>
      <c r="AC18" s="703"/>
      <c r="AD18" s="704"/>
      <c r="AE18" s="702"/>
      <c r="AF18" s="703"/>
      <c r="AG18" s="704"/>
      <c r="AH18" s="702"/>
      <c r="AI18" s="703"/>
      <c r="AJ18" s="704"/>
      <c r="AK18" s="702"/>
      <c r="AL18" s="703"/>
      <c r="AM18" s="704"/>
      <c r="AN18" s="703"/>
      <c r="AO18" s="703"/>
      <c r="AP18" s="707"/>
    </row>
    <row r="19" spans="2:42" ht="20.100000000000001" customHeight="1" x14ac:dyDescent="0.15">
      <c r="B19" s="824"/>
      <c r="C19" s="831"/>
      <c r="D19" s="832"/>
      <c r="E19" s="832"/>
      <c r="F19" s="87"/>
      <c r="G19" s="88"/>
      <c r="H19" s="89"/>
      <c r="I19" s="89"/>
      <c r="J19" s="90"/>
      <c r="K19" s="91"/>
      <c r="L19" s="92"/>
      <c r="M19" s="89"/>
      <c r="N19" s="89"/>
      <c r="O19" s="93"/>
      <c r="P19" s="90"/>
      <c r="Q19" s="91"/>
      <c r="R19" s="92"/>
      <c r="S19" s="94"/>
      <c r="T19" s="89"/>
      <c r="U19" s="93"/>
      <c r="V19" s="90"/>
      <c r="W19" s="91"/>
      <c r="X19" s="92"/>
      <c r="Y19" s="94"/>
      <c r="Z19" s="89"/>
      <c r="AA19" s="93"/>
      <c r="AB19" s="90"/>
      <c r="AC19" s="91"/>
      <c r="AD19" s="92"/>
      <c r="AE19" s="90"/>
      <c r="AF19" s="91"/>
      <c r="AG19" s="92"/>
      <c r="AH19" s="90"/>
      <c r="AI19" s="91"/>
      <c r="AJ19" s="92"/>
      <c r="AK19" s="90"/>
      <c r="AL19" s="91"/>
      <c r="AM19" s="92"/>
      <c r="AN19" s="91"/>
      <c r="AO19" s="91"/>
      <c r="AP19" s="95"/>
    </row>
    <row r="20" spans="2:42" ht="20.100000000000001" customHeight="1" x14ac:dyDescent="0.15">
      <c r="B20" s="760" t="s">
        <v>89</v>
      </c>
      <c r="C20" s="743"/>
      <c r="D20" s="744"/>
      <c r="E20" s="744"/>
      <c r="F20" s="744"/>
      <c r="G20" s="744"/>
      <c r="H20" s="744"/>
      <c r="I20" s="744"/>
      <c r="J20" s="744"/>
      <c r="K20" s="744"/>
      <c r="L20" s="744"/>
      <c r="M20" s="744"/>
      <c r="N20" s="744"/>
      <c r="O20" s="744"/>
      <c r="P20" s="744"/>
      <c r="Q20" s="744"/>
      <c r="R20" s="744"/>
      <c r="S20" s="744"/>
      <c r="T20" s="744"/>
      <c r="U20" s="744"/>
      <c r="V20" s="744"/>
      <c r="W20" s="744"/>
      <c r="X20" s="744"/>
      <c r="Y20" s="744"/>
      <c r="Z20" s="744"/>
      <c r="AA20" s="744"/>
      <c r="AB20" s="744"/>
      <c r="AC20" s="744"/>
      <c r="AD20" s="744"/>
      <c r="AE20" s="744"/>
      <c r="AF20" s="744"/>
      <c r="AG20" s="744"/>
      <c r="AH20" s="744"/>
      <c r="AI20" s="744"/>
      <c r="AJ20" s="744"/>
      <c r="AK20" s="744"/>
      <c r="AL20" s="744"/>
      <c r="AM20" s="744"/>
      <c r="AN20" s="744"/>
      <c r="AO20" s="744"/>
      <c r="AP20" s="745"/>
    </row>
    <row r="21" spans="2:42" ht="20.100000000000001" customHeight="1" x14ac:dyDescent="0.15">
      <c r="B21" s="761"/>
      <c r="C21" s="763" t="s">
        <v>105</v>
      </c>
      <c r="D21" s="764"/>
      <c r="E21" s="764"/>
      <c r="F21" s="764"/>
      <c r="G21" s="764"/>
      <c r="H21" s="764"/>
      <c r="I21" s="764"/>
      <c r="J21" s="764"/>
      <c r="K21" s="764"/>
      <c r="L21" s="764"/>
      <c r="M21" s="764"/>
      <c r="N21" s="764"/>
      <c r="O21" s="764"/>
      <c r="P21" s="764"/>
      <c r="Q21" s="764"/>
      <c r="R21" s="764"/>
      <c r="S21" s="764"/>
      <c r="T21" s="764"/>
      <c r="U21" s="764"/>
      <c r="V21" s="96"/>
      <c r="W21" s="96"/>
      <c r="Y21" s="746" t="s">
        <v>124</v>
      </c>
      <c r="Z21" s="746"/>
      <c r="AA21" s="746"/>
      <c r="AB21" s="746"/>
      <c r="AC21" s="96"/>
      <c r="AD21" s="96"/>
      <c r="AI21" s="96"/>
      <c r="AJ21" s="96"/>
      <c r="AK21" s="96"/>
      <c r="AL21" s="96"/>
      <c r="AM21" s="96"/>
      <c r="AN21" s="96"/>
      <c r="AO21" s="96"/>
      <c r="AP21" s="97"/>
    </row>
    <row r="22" spans="2:42" ht="20.100000000000001" customHeight="1" thickBot="1" x14ac:dyDescent="0.2">
      <c r="B22" s="762"/>
      <c r="C22" s="747"/>
      <c r="D22" s="748"/>
      <c r="E22" s="748"/>
      <c r="F22" s="748"/>
      <c r="G22" s="748"/>
      <c r="H22" s="748"/>
      <c r="I22" s="748"/>
      <c r="J22" s="748"/>
      <c r="K22" s="748"/>
      <c r="L22" s="748"/>
      <c r="M22" s="748"/>
      <c r="N22" s="748"/>
      <c r="O22" s="748"/>
      <c r="P22" s="748"/>
      <c r="Q22" s="748"/>
      <c r="R22" s="748"/>
      <c r="S22" s="748"/>
      <c r="T22" s="748"/>
      <c r="U22" s="748"/>
      <c r="V22" s="748"/>
      <c r="W22" s="748"/>
      <c r="X22" s="748"/>
      <c r="Y22" s="748"/>
      <c r="Z22" s="748"/>
      <c r="AA22" s="748"/>
      <c r="AB22" s="748"/>
      <c r="AC22" s="748"/>
      <c r="AD22" s="748"/>
      <c r="AE22" s="748"/>
      <c r="AF22" s="748"/>
      <c r="AG22" s="748"/>
      <c r="AH22" s="748"/>
      <c r="AI22" s="748"/>
      <c r="AJ22" s="748"/>
      <c r="AK22" s="748"/>
      <c r="AL22" s="748"/>
      <c r="AM22" s="748"/>
      <c r="AN22" s="748"/>
      <c r="AO22" s="748"/>
      <c r="AP22" s="749"/>
    </row>
    <row r="23" spans="2:42" ht="9.9499999999999993" customHeight="1" x14ac:dyDescent="0.15">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row>
    <row r="24" spans="2:42" ht="24.95" customHeight="1" x14ac:dyDescent="0.15">
      <c r="B24" s="70" t="s">
        <v>125</v>
      </c>
    </row>
    <row r="25" spans="2:42" ht="24.95" customHeight="1" thickBot="1" x14ac:dyDescent="0.2">
      <c r="B25" s="258" t="s">
        <v>531</v>
      </c>
    </row>
    <row r="26" spans="2:42" ht="20.100000000000001" customHeight="1" thickBot="1" x14ac:dyDescent="0.2">
      <c r="B26" s="750" t="s">
        <v>19</v>
      </c>
      <c r="C26" s="751"/>
      <c r="D26" s="751"/>
      <c r="E26" s="751"/>
      <c r="F26" s="751"/>
      <c r="G26" s="751"/>
      <c r="H26" s="751"/>
      <c r="I26" s="751"/>
      <c r="J26" s="751"/>
      <c r="K26" s="751"/>
      <c r="L26" s="751"/>
      <c r="M26" s="751"/>
      <c r="N26" s="752"/>
      <c r="O26" s="753" t="s">
        <v>18</v>
      </c>
      <c r="P26" s="754"/>
      <c r="Q26" s="754"/>
      <c r="R26" s="754"/>
      <c r="S26" s="754"/>
      <c r="T26" s="754"/>
      <c r="U26" s="754"/>
      <c r="V26" s="754"/>
      <c r="W26" s="754"/>
      <c r="X26" s="754"/>
      <c r="Y26" s="754"/>
      <c r="Z26" s="754"/>
      <c r="AA26" s="754"/>
      <c r="AB26" s="754"/>
      <c r="AC26" s="754"/>
      <c r="AD26" s="754"/>
      <c r="AE26" s="754"/>
      <c r="AF26" s="754"/>
      <c r="AG26" s="754"/>
      <c r="AH26" s="754"/>
      <c r="AI26" s="754"/>
      <c r="AJ26" s="754"/>
      <c r="AK26" s="754"/>
      <c r="AL26" s="754"/>
      <c r="AM26" s="754"/>
      <c r="AN26" s="754"/>
      <c r="AO26" s="754"/>
      <c r="AP26" s="755"/>
    </row>
    <row r="27" spans="2:42" ht="22.5" customHeight="1" x14ac:dyDescent="0.15">
      <c r="B27" s="765" t="s">
        <v>14</v>
      </c>
      <c r="C27" s="766"/>
      <c r="D27" s="767"/>
      <c r="E27" s="774" t="s">
        <v>520</v>
      </c>
      <c r="F27" s="775"/>
      <c r="G27" s="775"/>
      <c r="H27" s="775"/>
      <c r="I27" s="775"/>
      <c r="J27" s="775"/>
      <c r="K27" s="775"/>
      <c r="L27" s="775"/>
      <c r="M27" s="775"/>
      <c r="N27" s="776"/>
      <c r="O27" s="765" t="s">
        <v>11</v>
      </c>
      <c r="P27" s="766"/>
      <c r="Q27" s="766"/>
      <c r="R27" s="766"/>
      <c r="S27" s="767"/>
      <c r="T27" s="867" t="s">
        <v>521</v>
      </c>
      <c r="U27" s="868"/>
      <c r="V27" s="868"/>
      <c r="W27" s="868"/>
      <c r="X27" s="868"/>
      <c r="Y27" s="868"/>
      <c r="Z27" s="479"/>
      <c r="AA27" s="479"/>
      <c r="AB27" s="479">
        <v>5</v>
      </c>
      <c r="AC27" s="869" t="s">
        <v>522</v>
      </c>
      <c r="AD27" s="870"/>
      <c r="AE27" s="871" t="s">
        <v>523</v>
      </c>
      <c r="AF27" s="868"/>
      <c r="AG27" s="868"/>
      <c r="AH27" s="868"/>
      <c r="AI27" s="868"/>
      <c r="AJ27" s="868"/>
      <c r="AK27" s="479"/>
      <c r="AL27" s="479"/>
      <c r="AM27" s="479">
        <v>10</v>
      </c>
      <c r="AN27" s="872" t="s">
        <v>522</v>
      </c>
      <c r="AO27" s="873"/>
      <c r="AP27" s="874"/>
    </row>
    <row r="28" spans="2:42" ht="21" customHeight="1" x14ac:dyDescent="0.15">
      <c r="B28" s="768"/>
      <c r="C28" s="769"/>
      <c r="D28" s="770"/>
      <c r="E28" s="777"/>
      <c r="F28" s="778"/>
      <c r="G28" s="778"/>
      <c r="H28" s="778"/>
      <c r="I28" s="778"/>
      <c r="J28" s="778"/>
      <c r="K28" s="778"/>
      <c r="L28" s="778"/>
      <c r="M28" s="778"/>
      <c r="N28" s="779"/>
      <c r="O28" s="768"/>
      <c r="P28" s="769"/>
      <c r="Q28" s="769"/>
      <c r="R28" s="769"/>
      <c r="S28" s="770"/>
      <c r="T28" s="783"/>
      <c r="U28" s="784"/>
      <c r="V28" s="784"/>
      <c r="W28" s="784"/>
      <c r="X28" s="784"/>
      <c r="Y28" s="784"/>
      <c r="Z28" s="480"/>
      <c r="AA28" s="480"/>
      <c r="AB28" s="480"/>
      <c r="AC28" s="785"/>
      <c r="AD28" s="785"/>
      <c r="AE28" s="790" t="s">
        <v>524</v>
      </c>
      <c r="AF28" s="784"/>
      <c r="AG28" s="784"/>
      <c r="AH28" s="784"/>
      <c r="AI28" s="784"/>
      <c r="AJ28" s="784"/>
      <c r="AK28" s="480"/>
      <c r="AL28" s="480"/>
      <c r="AM28" s="480">
        <v>5</v>
      </c>
      <c r="AN28" s="788" t="s">
        <v>525</v>
      </c>
      <c r="AO28" s="788"/>
      <c r="AP28" s="789"/>
    </row>
    <row r="29" spans="2:42" ht="26.25" customHeight="1" x14ac:dyDescent="0.15">
      <c r="B29" s="768"/>
      <c r="C29" s="769"/>
      <c r="D29" s="770"/>
      <c r="E29" s="777"/>
      <c r="F29" s="778"/>
      <c r="G29" s="778"/>
      <c r="H29" s="778"/>
      <c r="I29" s="778"/>
      <c r="J29" s="778"/>
      <c r="K29" s="778"/>
      <c r="L29" s="778"/>
      <c r="M29" s="778"/>
      <c r="N29" s="779"/>
      <c r="O29" s="768"/>
      <c r="P29" s="769"/>
      <c r="Q29" s="769"/>
      <c r="R29" s="769"/>
      <c r="S29" s="770"/>
      <c r="T29" s="783"/>
      <c r="U29" s="784"/>
      <c r="V29" s="784"/>
      <c r="W29" s="784"/>
      <c r="X29" s="784"/>
      <c r="Y29" s="784"/>
      <c r="Z29" s="480"/>
      <c r="AA29" s="480"/>
      <c r="AB29" s="480"/>
      <c r="AC29" s="785"/>
      <c r="AD29" s="785"/>
      <c r="AE29" s="786" t="s">
        <v>526</v>
      </c>
      <c r="AF29" s="787"/>
      <c r="AG29" s="787"/>
      <c r="AH29" s="787"/>
      <c r="AI29" s="787"/>
      <c r="AJ29" s="787"/>
      <c r="AK29" s="480"/>
      <c r="AL29" s="480"/>
      <c r="AM29" s="560">
        <v>6.7</v>
      </c>
      <c r="AN29" s="788" t="s">
        <v>525</v>
      </c>
      <c r="AO29" s="788"/>
      <c r="AP29" s="789"/>
    </row>
    <row r="30" spans="2:42" ht="6.75" customHeight="1" x14ac:dyDescent="0.15">
      <c r="B30" s="768"/>
      <c r="C30" s="769"/>
      <c r="D30" s="770"/>
      <c r="E30" s="777"/>
      <c r="F30" s="778"/>
      <c r="G30" s="778"/>
      <c r="H30" s="778"/>
      <c r="I30" s="778"/>
      <c r="J30" s="778"/>
      <c r="K30" s="778"/>
      <c r="L30" s="778"/>
      <c r="M30" s="778"/>
      <c r="N30" s="779"/>
      <c r="O30" s="768"/>
      <c r="P30" s="769"/>
      <c r="Q30" s="769"/>
      <c r="R30" s="769"/>
      <c r="S30" s="770"/>
      <c r="T30" s="783"/>
      <c r="U30" s="784"/>
      <c r="V30" s="784"/>
      <c r="W30" s="784"/>
      <c r="X30" s="784"/>
      <c r="Y30" s="784"/>
      <c r="Z30" s="480"/>
      <c r="AA30" s="480"/>
      <c r="AB30" s="480"/>
      <c r="AC30" s="785"/>
      <c r="AD30" s="785"/>
      <c r="AE30" s="790"/>
      <c r="AF30" s="784"/>
      <c r="AG30" s="784"/>
      <c r="AH30" s="784"/>
      <c r="AI30" s="784"/>
      <c r="AJ30" s="784"/>
      <c r="AK30" s="480"/>
      <c r="AL30" s="480"/>
      <c r="AM30" s="480"/>
      <c r="AN30" s="788"/>
      <c r="AO30" s="788"/>
      <c r="AP30" s="789"/>
    </row>
    <row r="31" spans="2:42" ht="9.75" customHeight="1" x14ac:dyDescent="0.15">
      <c r="B31" s="771"/>
      <c r="C31" s="772"/>
      <c r="D31" s="773"/>
      <c r="E31" s="780"/>
      <c r="F31" s="781"/>
      <c r="G31" s="781"/>
      <c r="H31" s="781"/>
      <c r="I31" s="781"/>
      <c r="J31" s="781"/>
      <c r="K31" s="781"/>
      <c r="L31" s="781"/>
      <c r="M31" s="781"/>
      <c r="N31" s="782"/>
      <c r="O31" s="771"/>
      <c r="P31" s="772"/>
      <c r="Q31" s="772"/>
      <c r="R31" s="772"/>
      <c r="S31" s="773"/>
      <c r="T31" s="876"/>
      <c r="U31" s="877"/>
      <c r="V31" s="877"/>
      <c r="W31" s="877"/>
      <c r="X31" s="877"/>
      <c r="Y31" s="877"/>
      <c r="Z31" s="481"/>
      <c r="AA31" s="481"/>
      <c r="AB31" s="481"/>
      <c r="AC31" s="878"/>
      <c r="AD31" s="878"/>
      <c r="AE31" s="879"/>
      <c r="AF31" s="877"/>
      <c r="AG31" s="877"/>
      <c r="AH31" s="877"/>
      <c r="AI31" s="877"/>
      <c r="AJ31" s="877"/>
      <c r="AK31" s="481"/>
      <c r="AL31" s="481"/>
      <c r="AM31" s="481"/>
      <c r="AN31" s="880"/>
      <c r="AO31" s="880"/>
      <c r="AP31" s="881"/>
    </row>
    <row r="32" spans="2:42" x14ac:dyDescent="0.15">
      <c r="B32" s="729" t="s">
        <v>15</v>
      </c>
      <c r="C32" s="730"/>
      <c r="D32" s="730"/>
      <c r="E32" s="731" t="s">
        <v>527</v>
      </c>
      <c r="F32" s="732"/>
      <c r="G32" s="732"/>
      <c r="H32" s="732"/>
      <c r="I32" s="732"/>
      <c r="J32" s="732"/>
      <c r="K32" s="732"/>
      <c r="L32" s="732"/>
      <c r="M32" s="732"/>
      <c r="N32" s="733"/>
      <c r="O32" s="734" t="s">
        <v>12</v>
      </c>
      <c r="P32" s="730"/>
      <c r="Q32" s="730"/>
      <c r="R32" s="730"/>
      <c r="S32" s="730"/>
      <c r="T32" s="731" t="s">
        <v>528</v>
      </c>
      <c r="U32" s="732"/>
      <c r="V32" s="732"/>
      <c r="W32" s="732"/>
      <c r="X32" s="732"/>
      <c r="Y32" s="732"/>
      <c r="Z32" s="732"/>
      <c r="AA32" s="732"/>
      <c r="AB32" s="732"/>
      <c r="AC32" s="732"/>
      <c r="AD32" s="732"/>
      <c r="AE32" s="732"/>
      <c r="AF32" s="732"/>
      <c r="AG32" s="732"/>
      <c r="AH32" s="732"/>
      <c r="AI32" s="732"/>
      <c r="AJ32" s="732"/>
      <c r="AK32" s="732"/>
      <c r="AL32" s="732"/>
      <c r="AM32" s="732"/>
      <c r="AN32" s="732"/>
      <c r="AO32" s="732"/>
      <c r="AP32" s="733"/>
    </row>
    <row r="33" spans="2:42" x14ac:dyDescent="0.15">
      <c r="B33" s="729" t="s">
        <v>16</v>
      </c>
      <c r="C33" s="730"/>
      <c r="D33" s="730"/>
      <c r="E33" s="731" t="s">
        <v>529</v>
      </c>
      <c r="F33" s="732"/>
      <c r="G33" s="732"/>
      <c r="H33" s="732"/>
      <c r="I33" s="732"/>
      <c r="J33" s="732"/>
      <c r="K33" s="732"/>
      <c r="L33" s="732"/>
      <c r="M33" s="732"/>
      <c r="N33" s="733"/>
      <c r="O33" s="734" t="s">
        <v>13</v>
      </c>
      <c r="P33" s="730"/>
      <c r="Q33" s="730"/>
      <c r="R33" s="730"/>
      <c r="S33" s="730"/>
      <c r="T33" s="731" t="s">
        <v>760</v>
      </c>
      <c r="U33" s="732"/>
      <c r="V33" s="732"/>
      <c r="W33" s="732"/>
      <c r="X33" s="732"/>
      <c r="Y33" s="732"/>
      <c r="Z33" s="732"/>
      <c r="AA33" s="732"/>
      <c r="AB33" s="732"/>
      <c r="AC33" s="732"/>
      <c r="AD33" s="732"/>
      <c r="AE33" s="732"/>
      <c r="AF33" s="732"/>
      <c r="AG33" s="732"/>
      <c r="AH33" s="732"/>
      <c r="AI33" s="732"/>
      <c r="AJ33" s="732"/>
      <c r="AK33" s="732"/>
      <c r="AL33" s="732"/>
      <c r="AM33" s="732"/>
      <c r="AN33" s="732"/>
      <c r="AO33" s="732"/>
      <c r="AP33" s="733"/>
    </row>
    <row r="34" spans="2:42" ht="14.25" thickBot="1" x14ac:dyDescent="0.2">
      <c r="B34" s="737" t="s">
        <v>17</v>
      </c>
      <c r="C34" s="736"/>
      <c r="D34" s="736"/>
      <c r="E34" s="875" t="s">
        <v>530</v>
      </c>
      <c r="F34" s="727"/>
      <c r="G34" s="727"/>
      <c r="H34" s="727"/>
      <c r="I34" s="727"/>
      <c r="J34" s="727"/>
      <c r="K34" s="727"/>
      <c r="L34" s="727"/>
      <c r="M34" s="727"/>
      <c r="N34" s="728"/>
      <c r="O34" s="735"/>
      <c r="P34" s="736"/>
      <c r="Q34" s="736"/>
      <c r="R34" s="736"/>
      <c r="S34" s="736"/>
      <c r="T34" s="727"/>
      <c r="U34" s="727"/>
      <c r="V34" s="727"/>
      <c r="W34" s="727"/>
      <c r="X34" s="727"/>
      <c r="Y34" s="727"/>
      <c r="Z34" s="727"/>
      <c r="AA34" s="727"/>
      <c r="AB34" s="727"/>
      <c r="AC34" s="727"/>
      <c r="AD34" s="727"/>
      <c r="AE34" s="727"/>
      <c r="AF34" s="727"/>
      <c r="AG34" s="727"/>
      <c r="AH34" s="727"/>
      <c r="AI34" s="727"/>
      <c r="AJ34" s="727"/>
      <c r="AK34" s="727"/>
      <c r="AL34" s="727"/>
      <c r="AM34" s="727"/>
      <c r="AN34" s="727"/>
      <c r="AO34" s="727"/>
      <c r="AP34" s="728"/>
    </row>
    <row r="35" spans="2:42" ht="14.25" thickBot="1" x14ac:dyDescent="0.2">
      <c r="B35" s="485" t="s">
        <v>532</v>
      </c>
      <c r="C35" s="482"/>
      <c r="D35" s="482"/>
      <c r="E35" s="483"/>
      <c r="F35" s="484"/>
      <c r="G35" s="484"/>
      <c r="H35" s="484"/>
      <c r="I35" s="484"/>
      <c r="J35" s="484"/>
      <c r="K35" s="484"/>
      <c r="L35" s="484"/>
      <c r="M35" s="484"/>
      <c r="N35" s="484"/>
      <c r="O35" s="482"/>
      <c r="P35" s="482"/>
      <c r="Q35" s="482"/>
      <c r="R35" s="482"/>
      <c r="S35" s="482"/>
      <c r="T35" s="484"/>
      <c r="U35" s="484"/>
      <c r="V35" s="484"/>
      <c r="W35" s="484"/>
      <c r="X35" s="484"/>
      <c r="Y35" s="484"/>
      <c r="Z35" s="484"/>
      <c r="AA35" s="484"/>
      <c r="AB35" s="484"/>
      <c r="AC35" s="484"/>
      <c r="AD35" s="484"/>
      <c r="AE35" s="484"/>
      <c r="AF35" s="484"/>
      <c r="AG35" s="484"/>
      <c r="AH35" s="484"/>
      <c r="AI35" s="484"/>
      <c r="AJ35" s="484"/>
      <c r="AK35" s="484"/>
      <c r="AL35" s="484"/>
      <c r="AM35" s="484"/>
      <c r="AN35" s="484"/>
      <c r="AO35" s="484"/>
      <c r="AP35" s="484"/>
    </row>
    <row r="36" spans="2:42" ht="14.25" thickBot="1" x14ac:dyDescent="0.2">
      <c r="B36" s="750" t="s">
        <v>19</v>
      </c>
      <c r="C36" s="751"/>
      <c r="D36" s="751"/>
      <c r="E36" s="751"/>
      <c r="F36" s="751"/>
      <c r="G36" s="751"/>
      <c r="H36" s="751"/>
      <c r="I36" s="751"/>
      <c r="J36" s="751"/>
      <c r="K36" s="751"/>
      <c r="L36" s="751"/>
      <c r="M36" s="751"/>
      <c r="N36" s="752"/>
      <c r="O36" s="753" t="s">
        <v>18</v>
      </c>
      <c r="P36" s="754"/>
      <c r="Q36" s="754"/>
      <c r="R36" s="754"/>
      <c r="S36" s="754"/>
      <c r="T36" s="754"/>
      <c r="U36" s="754"/>
      <c r="V36" s="754"/>
      <c r="W36" s="754"/>
      <c r="X36" s="754"/>
      <c r="Y36" s="754"/>
      <c r="Z36" s="754"/>
      <c r="AA36" s="754"/>
      <c r="AB36" s="754"/>
      <c r="AC36" s="754"/>
      <c r="AD36" s="754"/>
      <c r="AE36" s="754"/>
      <c r="AF36" s="754"/>
      <c r="AG36" s="754"/>
      <c r="AH36" s="754"/>
      <c r="AI36" s="754"/>
      <c r="AJ36" s="754"/>
      <c r="AK36" s="754"/>
      <c r="AL36" s="754"/>
      <c r="AM36" s="754"/>
      <c r="AN36" s="754"/>
      <c r="AO36" s="754"/>
      <c r="AP36" s="755"/>
    </row>
    <row r="37" spans="2:42" ht="24" customHeight="1" x14ac:dyDescent="0.15">
      <c r="B37" s="756" t="s">
        <v>14</v>
      </c>
      <c r="C37" s="739"/>
      <c r="D37" s="739"/>
      <c r="E37" s="757" t="s">
        <v>357</v>
      </c>
      <c r="F37" s="758"/>
      <c r="G37" s="758"/>
      <c r="H37" s="758"/>
      <c r="I37" s="758"/>
      <c r="J37" s="758"/>
      <c r="K37" s="758"/>
      <c r="L37" s="758"/>
      <c r="M37" s="758"/>
      <c r="N37" s="759"/>
      <c r="O37" s="738" t="s">
        <v>11</v>
      </c>
      <c r="P37" s="739"/>
      <c r="Q37" s="739"/>
      <c r="R37" s="739"/>
      <c r="S37" s="739"/>
      <c r="T37" s="740" t="s">
        <v>345</v>
      </c>
      <c r="U37" s="741"/>
      <c r="V37" s="741"/>
      <c r="W37" s="741"/>
      <c r="X37" s="741"/>
      <c r="Y37" s="741"/>
      <c r="Z37" s="741"/>
      <c r="AA37" s="741"/>
      <c r="AB37" s="741"/>
      <c r="AC37" s="741"/>
      <c r="AD37" s="741"/>
      <c r="AE37" s="741"/>
      <c r="AF37" s="741"/>
      <c r="AG37" s="741"/>
      <c r="AH37" s="741"/>
      <c r="AI37" s="741"/>
      <c r="AJ37" s="741"/>
      <c r="AK37" s="741"/>
      <c r="AL37" s="741"/>
      <c r="AM37" s="741"/>
      <c r="AN37" s="741"/>
      <c r="AO37" s="741"/>
      <c r="AP37" s="742"/>
    </row>
    <row r="38" spans="2:42" ht="21.75" customHeight="1" x14ac:dyDescent="0.15">
      <c r="B38" s="729" t="s">
        <v>15</v>
      </c>
      <c r="C38" s="730"/>
      <c r="D38" s="730"/>
      <c r="E38" s="731" t="s">
        <v>527</v>
      </c>
      <c r="F38" s="732"/>
      <c r="G38" s="732"/>
      <c r="H38" s="732"/>
      <c r="I38" s="732"/>
      <c r="J38" s="732"/>
      <c r="K38" s="732"/>
      <c r="L38" s="732"/>
      <c r="M38" s="732"/>
      <c r="N38" s="733"/>
      <c r="O38" s="734" t="s">
        <v>12</v>
      </c>
      <c r="P38" s="730"/>
      <c r="Q38" s="730"/>
      <c r="R38" s="730"/>
      <c r="S38" s="730"/>
      <c r="T38" s="731" t="s">
        <v>375</v>
      </c>
      <c r="U38" s="732"/>
      <c r="V38" s="732"/>
      <c r="W38" s="732"/>
      <c r="X38" s="732"/>
      <c r="Y38" s="732"/>
      <c r="Z38" s="732"/>
      <c r="AA38" s="732"/>
      <c r="AB38" s="732"/>
      <c r="AC38" s="732"/>
      <c r="AD38" s="732"/>
      <c r="AE38" s="732"/>
      <c r="AF38" s="732"/>
      <c r="AG38" s="732"/>
      <c r="AH38" s="732"/>
      <c r="AI38" s="732"/>
      <c r="AJ38" s="732"/>
      <c r="AK38" s="732"/>
      <c r="AL38" s="732"/>
      <c r="AM38" s="732"/>
      <c r="AN38" s="732"/>
      <c r="AO38" s="732"/>
      <c r="AP38" s="733"/>
    </row>
    <row r="39" spans="2:42" ht="43.5" customHeight="1" x14ac:dyDescent="0.15">
      <c r="B39" s="729" t="s">
        <v>16</v>
      </c>
      <c r="C39" s="730"/>
      <c r="D39" s="730"/>
      <c r="E39" s="731" t="s">
        <v>623</v>
      </c>
      <c r="F39" s="732"/>
      <c r="G39" s="732"/>
      <c r="H39" s="732"/>
      <c r="I39" s="732"/>
      <c r="J39" s="732"/>
      <c r="K39" s="732"/>
      <c r="L39" s="732"/>
      <c r="M39" s="732"/>
      <c r="N39" s="733"/>
      <c r="O39" s="734" t="s">
        <v>13</v>
      </c>
      <c r="P39" s="730"/>
      <c r="Q39" s="730"/>
      <c r="R39" s="730"/>
      <c r="S39" s="730"/>
      <c r="T39" s="731" t="s">
        <v>346</v>
      </c>
      <c r="U39" s="732"/>
      <c r="V39" s="732"/>
      <c r="W39" s="732"/>
      <c r="X39" s="732"/>
      <c r="Y39" s="732"/>
      <c r="Z39" s="732"/>
      <c r="AA39" s="732"/>
      <c r="AB39" s="732"/>
      <c r="AC39" s="732"/>
      <c r="AD39" s="732"/>
      <c r="AE39" s="732"/>
      <c r="AF39" s="732"/>
      <c r="AG39" s="732"/>
      <c r="AH39" s="732"/>
      <c r="AI39" s="732"/>
      <c r="AJ39" s="732"/>
      <c r="AK39" s="732"/>
      <c r="AL39" s="732"/>
      <c r="AM39" s="732"/>
      <c r="AN39" s="732"/>
      <c r="AO39" s="732"/>
      <c r="AP39" s="733"/>
    </row>
    <row r="40" spans="2:42" ht="28.5" customHeight="1" thickBot="1" x14ac:dyDescent="0.2">
      <c r="B40" s="737" t="s">
        <v>17</v>
      </c>
      <c r="C40" s="736"/>
      <c r="D40" s="736"/>
      <c r="E40" s="727" t="s">
        <v>669</v>
      </c>
      <c r="F40" s="727"/>
      <c r="G40" s="727"/>
      <c r="H40" s="727"/>
      <c r="I40" s="727"/>
      <c r="J40" s="727"/>
      <c r="K40" s="727"/>
      <c r="L40" s="727"/>
      <c r="M40" s="727"/>
      <c r="N40" s="728"/>
      <c r="O40" s="735"/>
      <c r="P40" s="736"/>
      <c r="Q40" s="736"/>
      <c r="R40" s="736"/>
      <c r="S40" s="736"/>
      <c r="T40" s="727"/>
      <c r="U40" s="727"/>
      <c r="V40" s="727"/>
      <c r="W40" s="727"/>
      <c r="X40" s="727"/>
      <c r="Y40" s="727"/>
      <c r="Z40" s="727"/>
      <c r="AA40" s="727"/>
      <c r="AB40" s="727"/>
      <c r="AC40" s="727"/>
      <c r="AD40" s="727"/>
      <c r="AE40" s="727"/>
      <c r="AF40" s="727"/>
      <c r="AG40" s="727"/>
      <c r="AH40" s="727"/>
      <c r="AI40" s="727"/>
      <c r="AJ40" s="727"/>
      <c r="AK40" s="727"/>
      <c r="AL40" s="727"/>
      <c r="AM40" s="727"/>
      <c r="AN40" s="727"/>
      <c r="AO40" s="727"/>
      <c r="AP40" s="728"/>
    </row>
    <row r="41" spans="2:42" x14ac:dyDescent="0.15">
      <c r="B41" s="75"/>
    </row>
  </sheetData>
  <mergeCells count="119">
    <mergeCell ref="T27:Y27"/>
    <mergeCell ref="AC27:AD27"/>
    <mergeCell ref="AE27:AJ27"/>
    <mergeCell ref="AN27:AP27"/>
    <mergeCell ref="T28:Y28"/>
    <mergeCell ref="AC28:AD28"/>
    <mergeCell ref="AE28:AJ28"/>
    <mergeCell ref="AN28:AP28"/>
    <mergeCell ref="B33:D33"/>
    <mergeCell ref="E33:N33"/>
    <mergeCell ref="O33:S34"/>
    <mergeCell ref="T33:AP34"/>
    <mergeCell ref="B34:D34"/>
    <mergeCell ref="E34:N34"/>
    <mergeCell ref="T31:Y31"/>
    <mergeCell ref="AC31:AD31"/>
    <mergeCell ref="AE31:AJ31"/>
    <mergeCell ref="AN31:AP31"/>
    <mergeCell ref="B32:D32"/>
    <mergeCell ref="E32:N32"/>
    <mergeCell ref="O32:S32"/>
    <mergeCell ref="T32:AP32"/>
    <mergeCell ref="C2:D2"/>
    <mergeCell ref="F2:N2"/>
    <mergeCell ref="Y6:AA6"/>
    <mergeCell ref="B5:C5"/>
    <mergeCell ref="D5:G5"/>
    <mergeCell ref="H5:AA5"/>
    <mergeCell ref="Y2:AA2"/>
    <mergeCell ref="O2:Q2"/>
    <mergeCell ref="R2:U2"/>
    <mergeCell ref="V2:X2"/>
    <mergeCell ref="Y7:AA7"/>
    <mergeCell ref="B6:G6"/>
    <mergeCell ref="H6:M6"/>
    <mergeCell ref="N6:P6"/>
    <mergeCell ref="B7:C7"/>
    <mergeCell ref="D7:G7"/>
    <mergeCell ref="H7:M7"/>
    <mergeCell ref="N7:P7"/>
    <mergeCell ref="Q6:X6"/>
    <mergeCell ref="D9:G9"/>
    <mergeCell ref="H9:M9"/>
    <mergeCell ref="N9:P9"/>
    <mergeCell ref="B8:C8"/>
    <mergeCell ref="D8:G8"/>
    <mergeCell ref="H8:M8"/>
    <mergeCell ref="N8:P8"/>
    <mergeCell ref="Q8:X8"/>
    <mergeCell ref="Q7:X7"/>
    <mergeCell ref="Y8:AA8"/>
    <mergeCell ref="Q9:X9"/>
    <mergeCell ref="Y9:AA9"/>
    <mergeCell ref="Q10:X10"/>
    <mergeCell ref="Y10:AA10"/>
    <mergeCell ref="H10:M10"/>
    <mergeCell ref="N10:P10"/>
    <mergeCell ref="C12:E12"/>
    <mergeCell ref="G12:I12"/>
    <mergeCell ref="J12:L12"/>
    <mergeCell ref="M12:O12"/>
    <mergeCell ref="B10:C10"/>
    <mergeCell ref="D10:G10"/>
    <mergeCell ref="B11:C11"/>
    <mergeCell ref="D11:G11"/>
    <mergeCell ref="H11:M11"/>
    <mergeCell ref="B12:B19"/>
    <mergeCell ref="C17:E17"/>
    <mergeCell ref="C18:E18"/>
    <mergeCell ref="C19:E19"/>
    <mergeCell ref="Q11:X11"/>
    <mergeCell ref="Y11:AA11"/>
    <mergeCell ref="C16:E16"/>
    <mergeCell ref="B9:C9"/>
    <mergeCell ref="AH12:AJ12"/>
    <mergeCell ref="AK12:AM12"/>
    <mergeCell ref="P12:R12"/>
    <mergeCell ref="S12:U12"/>
    <mergeCell ref="V12:X12"/>
    <mergeCell ref="Y12:AA12"/>
    <mergeCell ref="N11:P11"/>
    <mergeCell ref="AN12:AP12"/>
    <mergeCell ref="C15:E15"/>
    <mergeCell ref="AB12:AD12"/>
    <mergeCell ref="AE12:AG12"/>
    <mergeCell ref="O37:S37"/>
    <mergeCell ref="T37:AP37"/>
    <mergeCell ref="C20:AP20"/>
    <mergeCell ref="Y21:AB21"/>
    <mergeCell ref="C22:AP22"/>
    <mergeCell ref="B36:N36"/>
    <mergeCell ref="O36:AP36"/>
    <mergeCell ref="B37:D37"/>
    <mergeCell ref="E37:N37"/>
    <mergeCell ref="B20:B22"/>
    <mergeCell ref="C21:U21"/>
    <mergeCell ref="B26:N26"/>
    <mergeCell ref="O26:AP26"/>
    <mergeCell ref="B27:D31"/>
    <mergeCell ref="E27:N31"/>
    <mergeCell ref="O27:S31"/>
    <mergeCell ref="T29:Y29"/>
    <mergeCell ref="AC29:AD29"/>
    <mergeCell ref="AE29:AJ29"/>
    <mergeCell ref="AN29:AP29"/>
    <mergeCell ref="T30:Y30"/>
    <mergeCell ref="AC30:AD30"/>
    <mergeCell ref="AE30:AJ30"/>
    <mergeCell ref="AN30:AP30"/>
    <mergeCell ref="E40:N40"/>
    <mergeCell ref="B38:D38"/>
    <mergeCell ref="E38:N38"/>
    <mergeCell ref="O38:S38"/>
    <mergeCell ref="T38:AP38"/>
    <mergeCell ref="B39:D39"/>
    <mergeCell ref="E39:N39"/>
    <mergeCell ref="O39:S40"/>
    <mergeCell ref="T39:AP40"/>
    <mergeCell ref="B40:D40"/>
  </mergeCells>
  <phoneticPr fontId="3"/>
  <pageMargins left="0.78740157480314965" right="0.78740157480314965" top="0.78740157480314965" bottom="0.78740157480314965" header="0.39370078740157483" footer="0.39370078740157483"/>
  <pageSetup paperSize="9" scale="6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4"/>
  <sheetViews>
    <sheetView zoomScale="75" zoomScaleNormal="75" zoomScaleSheetLayoutView="75" workbookViewId="0"/>
  </sheetViews>
  <sheetFormatPr defaultRowHeight="13.5" x14ac:dyDescent="0.15"/>
  <cols>
    <col min="1" max="1" width="1.625" style="43" customWidth="1"/>
    <col min="2" max="2" width="5" style="43" customWidth="1"/>
    <col min="3" max="3" width="22.5" style="43" bestFit="1" customWidth="1"/>
    <col min="4" max="4" width="30" style="43" bestFit="1" customWidth="1"/>
    <col min="5" max="5" width="6" style="43" bestFit="1" customWidth="1"/>
    <col min="6" max="6" width="6" style="563" bestFit="1" customWidth="1"/>
    <col min="7" max="7" width="17.625" style="43" customWidth="1"/>
    <col min="8" max="8" width="10.625" style="43" customWidth="1"/>
    <col min="9" max="9" width="17.625" style="43" customWidth="1"/>
    <col min="10" max="10" width="10.625" style="43" customWidth="1"/>
    <col min="11" max="11" width="15.125" style="44" bestFit="1" customWidth="1"/>
    <col min="12" max="12" width="17.625" style="43" customWidth="1"/>
    <col min="13" max="13" width="10.625" style="43" customWidth="1"/>
    <col min="14" max="14" width="17.625" style="43" customWidth="1"/>
    <col min="15" max="15" width="10.625" style="43" customWidth="1"/>
    <col min="16" max="16" width="19.75" style="43" bestFit="1" customWidth="1"/>
    <col min="17" max="16384" width="9" style="43"/>
  </cols>
  <sheetData>
    <row r="1" spans="2:16" ht="24.95" customHeight="1" thickBot="1" x14ac:dyDescent="0.2">
      <c r="B1" s="1" t="s">
        <v>240</v>
      </c>
      <c r="C1" s="4"/>
      <c r="D1" s="4"/>
      <c r="E1" s="45"/>
      <c r="F1" s="957"/>
      <c r="G1" s="958"/>
      <c r="H1" s="586"/>
      <c r="I1" s="586"/>
      <c r="J1" s="585"/>
      <c r="K1" s="46"/>
      <c r="L1" s="585"/>
      <c r="M1" s="47"/>
      <c r="P1" s="585"/>
    </row>
    <row r="2" spans="2:16" x14ac:dyDescent="0.15">
      <c r="B2" s="961" t="s">
        <v>91</v>
      </c>
      <c r="C2" s="963" t="s">
        <v>38</v>
      </c>
      <c r="D2" s="963" t="s">
        <v>137</v>
      </c>
      <c r="E2" s="959" t="s">
        <v>39</v>
      </c>
      <c r="F2" s="960"/>
      <c r="G2" s="587" t="s">
        <v>40</v>
      </c>
      <c r="H2" s="587" t="s">
        <v>139</v>
      </c>
      <c r="I2" s="587" t="s">
        <v>138</v>
      </c>
      <c r="J2" s="963" t="s">
        <v>101</v>
      </c>
      <c r="K2" s="524" t="s">
        <v>672</v>
      </c>
      <c r="L2" s="587" t="s">
        <v>41</v>
      </c>
      <c r="M2" s="587" t="s">
        <v>140</v>
      </c>
      <c r="N2" s="587" t="s">
        <v>42</v>
      </c>
      <c r="O2" s="587" t="s">
        <v>43</v>
      </c>
      <c r="P2" s="274" t="s">
        <v>44</v>
      </c>
    </row>
    <row r="3" spans="2:16" x14ac:dyDescent="0.15">
      <c r="B3" s="962"/>
      <c r="C3" s="964"/>
      <c r="D3" s="964"/>
      <c r="E3" s="48" t="s">
        <v>102</v>
      </c>
      <c r="F3" s="48" t="s">
        <v>9</v>
      </c>
      <c r="G3" s="402" t="s">
        <v>673</v>
      </c>
      <c r="H3" s="402" t="s">
        <v>674</v>
      </c>
      <c r="I3" s="402" t="s">
        <v>142</v>
      </c>
      <c r="J3" s="964"/>
      <c r="K3" s="525" t="s">
        <v>675</v>
      </c>
      <c r="L3" s="402" t="s">
        <v>676</v>
      </c>
      <c r="M3" s="402" t="s">
        <v>677</v>
      </c>
      <c r="N3" s="402" t="s">
        <v>143</v>
      </c>
      <c r="O3" s="402" t="s">
        <v>678</v>
      </c>
      <c r="P3" s="526" t="s">
        <v>679</v>
      </c>
    </row>
    <row r="4" spans="2:16" x14ac:dyDescent="0.15">
      <c r="B4" s="983" t="s">
        <v>182</v>
      </c>
      <c r="C4" s="981" t="s">
        <v>312</v>
      </c>
      <c r="D4" s="981" t="s">
        <v>313</v>
      </c>
      <c r="E4" s="968">
        <v>50</v>
      </c>
      <c r="F4" s="967" t="s">
        <v>314</v>
      </c>
      <c r="G4" s="968">
        <v>2160000</v>
      </c>
      <c r="H4" s="970">
        <v>0</v>
      </c>
      <c r="I4" s="968">
        <f>G4*(1-H4)</f>
        <v>2160000</v>
      </c>
      <c r="J4" s="270" t="s">
        <v>680</v>
      </c>
      <c r="K4" s="321">
        <f>1.3/3.3/1.3</f>
        <v>0.30303030303030304</v>
      </c>
      <c r="L4" s="401">
        <f>I4*K4</f>
        <v>654545.45454545459</v>
      </c>
      <c r="M4" s="529">
        <v>0</v>
      </c>
      <c r="N4" s="401">
        <f>L4*M4/100</f>
        <v>0</v>
      </c>
      <c r="O4" s="401">
        <v>24</v>
      </c>
      <c r="P4" s="403">
        <f>IF(O4="","",(L4-N4)/O4)</f>
        <v>27272.727272727276</v>
      </c>
    </row>
    <row r="5" spans="2:16" x14ac:dyDescent="0.15">
      <c r="B5" s="984"/>
      <c r="C5" s="987"/>
      <c r="D5" s="987"/>
      <c r="E5" s="969"/>
      <c r="F5" s="988"/>
      <c r="G5" s="969"/>
      <c r="H5" s="971"/>
      <c r="I5" s="969"/>
      <c r="J5" s="270" t="s">
        <v>681</v>
      </c>
      <c r="K5" s="321">
        <f>2/3.3/2</f>
        <v>0.30303030303030304</v>
      </c>
      <c r="L5" s="401">
        <f>I4*K5</f>
        <v>654545.45454545459</v>
      </c>
      <c r="M5" s="529">
        <v>0</v>
      </c>
      <c r="N5" s="401">
        <f>L5*M5/100</f>
        <v>0</v>
      </c>
      <c r="O5" s="401">
        <v>24</v>
      </c>
      <c r="P5" s="403">
        <f>IF(O5="","",(L5-N5)/O5)</f>
        <v>27272.727272727276</v>
      </c>
    </row>
    <row r="6" spans="2:16" x14ac:dyDescent="0.15">
      <c r="B6" s="985"/>
      <c r="C6" s="270" t="s">
        <v>682</v>
      </c>
      <c r="D6" s="270"/>
      <c r="E6" s="270">
        <v>10000</v>
      </c>
      <c r="F6" s="48" t="s">
        <v>683</v>
      </c>
      <c r="G6" s="270">
        <v>60000000</v>
      </c>
      <c r="H6" s="320">
        <v>0</v>
      </c>
      <c r="I6" s="270">
        <f t="shared" ref="I6" si="0">G6*(1-H6)</f>
        <v>60000000</v>
      </c>
      <c r="J6" s="270" t="s">
        <v>714</v>
      </c>
      <c r="K6" s="321">
        <f>1/3.3</f>
        <v>0.30303030303030304</v>
      </c>
      <c r="L6" s="401">
        <f>I6*K6</f>
        <v>18181818.181818184</v>
      </c>
      <c r="M6" s="529">
        <v>0</v>
      </c>
      <c r="N6" s="401">
        <f t="shared" ref="N6:N11" si="1">L6*M6/100</f>
        <v>0</v>
      </c>
      <c r="O6" s="401">
        <v>10</v>
      </c>
      <c r="P6" s="403">
        <f t="shared" ref="P6" si="2">IF(O6="","",(L6-N6)/O6)</f>
        <v>1818181.8181818184</v>
      </c>
    </row>
    <row r="7" spans="2:16" x14ac:dyDescent="0.15">
      <c r="B7" s="985"/>
      <c r="C7" s="981" t="s">
        <v>588</v>
      </c>
      <c r="D7" s="989" t="s">
        <v>104</v>
      </c>
      <c r="E7" s="992">
        <v>100</v>
      </c>
      <c r="F7" s="995" t="s">
        <v>683</v>
      </c>
      <c r="G7" s="972">
        <f>59400*E7</f>
        <v>5940000</v>
      </c>
      <c r="H7" s="975">
        <v>0</v>
      </c>
      <c r="I7" s="978">
        <f>G7*(1-H7)</f>
        <v>5940000</v>
      </c>
      <c r="J7" s="270" t="s">
        <v>684</v>
      </c>
      <c r="K7" s="321">
        <f>26.7/30/26.7</f>
        <v>3.3333333333333333E-2</v>
      </c>
      <c r="L7" s="401">
        <f>I7*K7</f>
        <v>198000</v>
      </c>
      <c r="M7" s="529">
        <v>0</v>
      </c>
      <c r="N7" s="401">
        <f t="shared" si="1"/>
        <v>0</v>
      </c>
      <c r="O7" s="401">
        <v>25</v>
      </c>
      <c r="P7" s="403">
        <f>IF(O7="","",(L7-N7)/O7)</f>
        <v>7920</v>
      </c>
    </row>
    <row r="8" spans="2:16" x14ac:dyDescent="0.15">
      <c r="B8" s="985"/>
      <c r="C8" s="987"/>
      <c r="D8" s="990"/>
      <c r="E8" s="993"/>
      <c r="F8" s="996"/>
      <c r="G8" s="973"/>
      <c r="H8" s="976"/>
      <c r="I8" s="979"/>
      <c r="J8" s="270" t="s">
        <v>685</v>
      </c>
      <c r="K8" s="321">
        <f>1.3/30/1.3</f>
        <v>3.3333333333333333E-2</v>
      </c>
      <c r="L8" s="401">
        <f>I7*K8</f>
        <v>198000</v>
      </c>
      <c r="M8" s="529">
        <v>0</v>
      </c>
      <c r="N8" s="401">
        <f t="shared" si="1"/>
        <v>0</v>
      </c>
      <c r="O8" s="401">
        <v>25</v>
      </c>
      <c r="P8" s="403">
        <f t="shared" ref="P8:P11" si="3">IF(O8="","",(L8-N8)/O8)</f>
        <v>7920</v>
      </c>
    </row>
    <row r="9" spans="2:16" x14ac:dyDescent="0.15">
      <c r="B9" s="985"/>
      <c r="C9" s="982"/>
      <c r="D9" s="991"/>
      <c r="E9" s="994"/>
      <c r="F9" s="997"/>
      <c r="G9" s="974"/>
      <c r="H9" s="977"/>
      <c r="I9" s="980"/>
      <c r="J9" s="270" t="s">
        <v>681</v>
      </c>
      <c r="K9" s="321">
        <f>2/30/2</f>
        <v>3.3333333333333333E-2</v>
      </c>
      <c r="L9" s="401">
        <f>I7*K9</f>
        <v>198000</v>
      </c>
      <c r="M9" s="529">
        <v>0</v>
      </c>
      <c r="N9" s="401">
        <f t="shared" si="1"/>
        <v>0</v>
      </c>
      <c r="O9" s="401">
        <v>25</v>
      </c>
      <c r="P9" s="403">
        <f t="shared" si="3"/>
        <v>7920</v>
      </c>
    </row>
    <row r="10" spans="2:16" x14ac:dyDescent="0.15">
      <c r="B10" s="985"/>
      <c r="C10" s="537" t="s">
        <v>589</v>
      </c>
      <c r="D10" s="537" t="s">
        <v>104</v>
      </c>
      <c r="E10" s="592">
        <v>180</v>
      </c>
      <c r="F10" s="593" t="s">
        <v>683</v>
      </c>
      <c r="G10" s="592">
        <f>59400*E10</f>
        <v>10692000</v>
      </c>
      <c r="H10" s="538">
        <v>0</v>
      </c>
      <c r="I10" s="537">
        <f>G10*(1-H10)</f>
        <v>10692000</v>
      </c>
      <c r="J10" s="270" t="s">
        <v>686</v>
      </c>
      <c r="K10" s="321">
        <f>26.7/30/26.7</f>
        <v>3.3333333333333333E-2</v>
      </c>
      <c r="L10" s="401">
        <f t="shared" ref="L10:L11" si="4">I10*K10</f>
        <v>356400</v>
      </c>
      <c r="M10" s="529">
        <v>0</v>
      </c>
      <c r="N10" s="401">
        <f t="shared" si="1"/>
        <v>0</v>
      </c>
      <c r="O10" s="401">
        <v>25</v>
      </c>
      <c r="P10" s="403">
        <f t="shared" si="3"/>
        <v>14256</v>
      </c>
    </row>
    <row r="11" spans="2:16" x14ac:dyDescent="0.15">
      <c r="B11" s="985"/>
      <c r="C11" s="270" t="s">
        <v>590</v>
      </c>
      <c r="D11" s="537" t="s">
        <v>47</v>
      </c>
      <c r="E11" s="594">
        <v>725</v>
      </c>
      <c r="F11" s="593" t="s">
        <v>683</v>
      </c>
      <c r="G11" s="592">
        <f>2430*E11</f>
        <v>1761750</v>
      </c>
      <c r="H11" s="538">
        <v>0</v>
      </c>
      <c r="I11" s="537">
        <f t="shared" ref="I11" si="5">G11*(1-H11)</f>
        <v>1761750</v>
      </c>
      <c r="J11" s="270" t="s">
        <v>686</v>
      </c>
      <c r="K11" s="321">
        <f>26.7/30/26.7</f>
        <v>3.3333333333333333E-2</v>
      </c>
      <c r="L11" s="401">
        <f t="shared" si="4"/>
        <v>58725</v>
      </c>
      <c r="M11" s="529">
        <v>0</v>
      </c>
      <c r="N11" s="401">
        <f t="shared" si="1"/>
        <v>0</v>
      </c>
      <c r="O11" s="401">
        <v>10</v>
      </c>
      <c r="P11" s="403">
        <f t="shared" si="3"/>
        <v>5872.5</v>
      </c>
    </row>
    <row r="12" spans="2:16" x14ac:dyDescent="0.15">
      <c r="B12" s="985"/>
      <c r="C12" s="401"/>
      <c r="D12" s="401"/>
      <c r="E12" s="595"/>
      <c r="F12" s="596"/>
      <c r="G12" s="404"/>
      <c r="H12" s="529"/>
      <c r="I12" s="401"/>
      <c r="J12" s="527"/>
      <c r="K12" s="528"/>
      <c r="L12" s="401"/>
      <c r="M12" s="529"/>
      <c r="N12" s="401"/>
      <c r="O12" s="401"/>
      <c r="P12" s="403"/>
    </row>
    <row r="13" spans="2:16" x14ac:dyDescent="0.15">
      <c r="B13" s="985"/>
      <c r="C13" s="401"/>
      <c r="D13" s="401"/>
      <c r="E13" s="530"/>
      <c r="F13" s="402"/>
      <c r="G13" s="401"/>
      <c r="H13" s="529"/>
      <c r="I13" s="401"/>
      <c r="J13" s="527"/>
      <c r="K13" s="528"/>
      <c r="L13" s="401"/>
      <c r="M13" s="529"/>
      <c r="N13" s="401"/>
      <c r="O13" s="401"/>
      <c r="P13" s="403"/>
    </row>
    <row r="14" spans="2:16" x14ac:dyDescent="0.15">
      <c r="B14" s="985"/>
      <c r="C14" s="401"/>
      <c r="D14" s="401"/>
      <c r="E14" s="401"/>
      <c r="F14" s="402"/>
      <c r="G14" s="401"/>
      <c r="H14" s="529"/>
      <c r="I14" s="401"/>
      <c r="J14" s="401"/>
      <c r="K14" s="528"/>
      <c r="L14" s="401"/>
      <c r="M14" s="529"/>
      <c r="N14" s="401"/>
      <c r="O14" s="401"/>
      <c r="P14" s="403" t="str">
        <f t="shared" ref="P14:P16" si="6">IF(O14="","",(L14-N14)/O14)</f>
        <v/>
      </c>
    </row>
    <row r="15" spans="2:16" x14ac:dyDescent="0.15">
      <c r="B15" s="985"/>
      <c r="C15" s="401"/>
      <c r="D15" s="401"/>
      <c r="E15" s="401"/>
      <c r="F15" s="402"/>
      <c r="G15" s="401"/>
      <c r="H15" s="529"/>
      <c r="I15" s="401"/>
      <c r="J15" s="401"/>
      <c r="K15" s="528"/>
      <c r="L15" s="401"/>
      <c r="M15" s="529"/>
      <c r="N15" s="401"/>
      <c r="O15" s="401"/>
      <c r="P15" s="403" t="str">
        <f t="shared" si="6"/>
        <v/>
      </c>
    </row>
    <row r="16" spans="2:16" x14ac:dyDescent="0.15">
      <c r="B16" s="985"/>
      <c r="C16" s="401"/>
      <c r="D16" s="401"/>
      <c r="E16" s="401"/>
      <c r="F16" s="402"/>
      <c r="G16" s="401"/>
      <c r="H16" s="529"/>
      <c r="I16" s="401"/>
      <c r="J16" s="401"/>
      <c r="K16" s="528"/>
      <c r="L16" s="401"/>
      <c r="M16" s="529"/>
      <c r="N16" s="401"/>
      <c r="O16" s="401"/>
      <c r="P16" s="403" t="str">
        <f t="shared" si="6"/>
        <v/>
      </c>
    </row>
    <row r="17" spans="2:16" x14ac:dyDescent="0.15">
      <c r="B17" s="986"/>
      <c r="C17" s="531" t="s">
        <v>45</v>
      </c>
      <c r="D17" s="532"/>
      <c r="E17" s="532"/>
      <c r="F17" s="531"/>
      <c r="G17" s="532">
        <f>SUM(G4:G16)</f>
        <v>80553750</v>
      </c>
      <c r="H17" s="532"/>
      <c r="I17" s="532">
        <f>SUM(I4:I16)</f>
        <v>80553750</v>
      </c>
      <c r="J17" s="532"/>
      <c r="K17" s="533"/>
      <c r="L17" s="532">
        <f>SUM(L4:L16)</f>
        <v>20500034.090909094</v>
      </c>
      <c r="M17" s="532"/>
      <c r="N17" s="532"/>
      <c r="O17" s="532"/>
      <c r="P17" s="534">
        <f>SUM(P4:P16)</f>
        <v>1916615.7727272729</v>
      </c>
    </row>
    <row r="18" spans="2:16" x14ac:dyDescent="0.15">
      <c r="B18" s="983" t="s">
        <v>183</v>
      </c>
      <c r="C18" s="592" t="s">
        <v>54</v>
      </c>
      <c r="D18" s="539" t="s">
        <v>687</v>
      </c>
      <c r="E18" s="592">
        <v>1</v>
      </c>
      <c r="F18" s="593" t="s">
        <v>103</v>
      </c>
      <c r="G18" s="592">
        <f>5302000*1.08</f>
        <v>5726160</v>
      </c>
      <c r="H18" s="538">
        <v>0</v>
      </c>
      <c r="I18" s="537">
        <f>G18*(1-H18)*E18</f>
        <v>5726160</v>
      </c>
      <c r="J18" s="270" t="s">
        <v>686</v>
      </c>
      <c r="K18" s="321">
        <f t="shared" ref="K18:K31" si="7">26.7/26.7/26.7</f>
        <v>3.7453183520599252E-2</v>
      </c>
      <c r="L18" s="270">
        <f>I18*K18</f>
        <v>214462.92134831462</v>
      </c>
      <c r="M18" s="535">
        <v>0</v>
      </c>
      <c r="N18" s="401">
        <f>L18*M18</f>
        <v>0</v>
      </c>
      <c r="O18" s="404">
        <v>7</v>
      </c>
      <c r="P18" s="403">
        <f t="shared" ref="P18:P55" si="8">IF(O18="","",(L18-N18)/O18)</f>
        <v>30637.560192616373</v>
      </c>
    </row>
    <row r="19" spans="2:16" x14ac:dyDescent="0.15">
      <c r="B19" s="985"/>
      <c r="C19" s="592" t="s">
        <v>55</v>
      </c>
      <c r="D19" s="539" t="s">
        <v>688</v>
      </c>
      <c r="E19" s="592">
        <v>1</v>
      </c>
      <c r="F19" s="593" t="s">
        <v>103</v>
      </c>
      <c r="G19" s="592">
        <f>715000*1.08</f>
        <v>772200</v>
      </c>
      <c r="H19" s="538">
        <v>0</v>
      </c>
      <c r="I19" s="537">
        <f t="shared" ref="I19:I30" si="9">G19*(1-H19)*E19</f>
        <v>772200</v>
      </c>
      <c r="J19" s="270" t="s">
        <v>686</v>
      </c>
      <c r="K19" s="321">
        <f t="shared" si="7"/>
        <v>3.7453183520599252E-2</v>
      </c>
      <c r="L19" s="270">
        <f t="shared" ref="L19:L32" si="10">I19*K19</f>
        <v>28921.348314606741</v>
      </c>
      <c r="M19" s="529">
        <v>0</v>
      </c>
      <c r="N19" s="401">
        <f t="shared" ref="N19:N34" si="11">L19*M19</f>
        <v>0</v>
      </c>
      <c r="O19" s="401">
        <v>7</v>
      </c>
      <c r="P19" s="403">
        <f t="shared" si="8"/>
        <v>4131.6211878009626</v>
      </c>
    </row>
    <row r="20" spans="2:16" x14ac:dyDescent="0.15">
      <c r="B20" s="985"/>
      <c r="C20" s="539" t="s">
        <v>598</v>
      </c>
      <c r="D20" s="539" t="s">
        <v>599</v>
      </c>
      <c r="E20" s="592">
        <v>1</v>
      </c>
      <c r="F20" s="593" t="s">
        <v>103</v>
      </c>
      <c r="G20" s="592">
        <f>3850000*1.08</f>
        <v>4158000.0000000005</v>
      </c>
      <c r="H20" s="538">
        <v>0</v>
      </c>
      <c r="I20" s="537">
        <f t="shared" si="9"/>
        <v>4158000.0000000005</v>
      </c>
      <c r="J20" s="270" t="s">
        <v>686</v>
      </c>
      <c r="K20" s="321">
        <f t="shared" si="7"/>
        <v>3.7453183520599252E-2</v>
      </c>
      <c r="L20" s="270">
        <f t="shared" si="10"/>
        <v>155730.3370786517</v>
      </c>
      <c r="M20" s="529">
        <v>0</v>
      </c>
      <c r="N20" s="401">
        <f t="shared" si="11"/>
        <v>0</v>
      </c>
      <c r="O20" s="401">
        <v>7</v>
      </c>
      <c r="P20" s="403">
        <f t="shared" si="8"/>
        <v>22247.191011235958</v>
      </c>
    </row>
    <row r="21" spans="2:16" x14ac:dyDescent="0.15">
      <c r="B21" s="985"/>
      <c r="C21" s="592" t="s">
        <v>56</v>
      </c>
      <c r="D21" s="539" t="s">
        <v>600</v>
      </c>
      <c r="E21" s="592">
        <v>1</v>
      </c>
      <c r="F21" s="597" t="s">
        <v>103</v>
      </c>
      <c r="G21" s="592">
        <f>6800000*1.08</f>
        <v>7344000.0000000009</v>
      </c>
      <c r="H21" s="538">
        <v>0</v>
      </c>
      <c r="I21" s="537">
        <f t="shared" si="9"/>
        <v>7344000.0000000009</v>
      </c>
      <c r="J21" s="270" t="s">
        <v>686</v>
      </c>
      <c r="K21" s="321">
        <f t="shared" si="7"/>
        <v>3.7453183520599252E-2</v>
      </c>
      <c r="L21" s="270">
        <f t="shared" si="10"/>
        <v>275056.17977528094</v>
      </c>
      <c r="M21" s="529">
        <v>0</v>
      </c>
      <c r="N21" s="401">
        <f t="shared" si="11"/>
        <v>0</v>
      </c>
      <c r="O21" s="401">
        <v>7</v>
      </c>
      <c r="P21" s="403">
        <f t="shared" si="8"/>
        <v>39293.73996789728</v>
      </c>
    </row>
    <row r="22" spans="2:16" x14ac:dyDescent="0.15">
      <c r="B22" s="985"/>
      <c r="C22" s="592" t="s">
        <v>56</v>
      </c>
      <c r="D22" s="539" t="s">
        <v>600</v>
      </c>
      <c r="E22" s="592">
        <v>1</v>
      </c>
      <c r="F22" s="597" t="s">
        <v>103</v>
      </c>
      <c r="G22" s="592">
        <f>6800000*1.08</f>
        <v>7344000.0000000009</v>
      </c>
      <c r="H22" s="538">
        <v>0</v>
      </c>
      <c r="I22" s="537">
        <f t="shared" si="9"/>
        <v>7344000.0000000009</v>
      </c>
      <c r="J22" s="270" t="s">
        <v>686</v>
      </c>
      <c r="K22" s="321">
        <f t="shared" si="7"/>
        <v>3.7453183520599252E-2</v>
      </c>
      <c r="L22" s="270">
        <f t="shared" si="10"/>
        <v>275056.17977528094</v>
      </c>
      <c r="M22" s="529">
        <v>0</v>
      </c>
      <c r="N22" s="401">
        <f t="shared" si="11"/>
        <v>0</v>
      </c>
      <c r="O22" s="401">
        <v>7</v>
      </c>
      <c r="P22" s="403">
        <f t="shared" si="8"/>
        <v>39293.73996789728</v>
      </c>
    </row>
    <row r="23" spans="2:16" x14ac:dyDescent="0.15">
      <c r="B23" s="985"/>
      <c r="C23" s="539" t="s">
        <v>553</v>
      </c>
      <c r="D23" s="539" t="s">
        <v>601</v>
      </c>
      <c r="E23" s="592">
        <v>1</v>
      </c>
      <c r="F23" s="597" t="s">
        <v>103</v>
      </c>
      <c r="G23" s="592">
        <f>3500000*1.08</f>
        <v>3780000.0000000005</v>
      </c>
      <c r="H23" s="538">
        <v>0</v>
      </c>
      <c r="I23" s="537">
        <f t="shared" si="9"/>
        <v>3780000.0000000005</v>
      </c>
      <c r="J23" s="270" t="s">
        <v>686</v>
      </c>
      <c r="K23" s="321">
        <f t="shared" si="7"/>
        <v>3.7453183520599252E-2</v>
      </c>
      <c r="L23" s="270">
        <f t="shared" si="10"/>
        <v>141573.03370786519</v>
      </c>
      <c r="M23" s="529">
        <v>0</v>
      </c>
      <c r="N23" s="401">
        <f t="shared" si="11"/>
        <v>0</v>
      </c>
      <c r="O23" s="401">
        <v>7</v>
      </c>
      <c r="P23" s="403">
        <f t="shared" si="8"/>
        <v>20224.719101123599</v>
      </c>
    </row>
    <row r="24" spans="2:16" x14ac:dyDescent="0.15">
      <c r="B24" s="985"/>
      <c r="C24" s="598" t="s">
        <v>689</v>
      </c>
      <c r="D24" s="599" t="s">
        <v>690</v>
      </c>
      <c r="E24" s="592">
        <v>1</v>
      </c>
      <c r="F24" s="597" t="s">
        <v>103</v>
      </c>
      <c r="G24" s="592">
        <f>281000*1.08</f>
        <v>303480</v>
      </c>
      <c r="H24" s="320">
        <v>0</v>
      </c>
      <c r="I24" s="537">
        <f t="shared" si="9"/>
        <v>303480</v>
      </c>
      <c r="J24" s="270" t="s">
        <v>686</v>
      </c>
      <c r="K24" s="321">
        <f t="shared" si="7"/>
        <v>3.7453183520599252E-2</v>
      </c>
      <c r="L24" s="270">
        <f t="shared" si="10"/>
        <v>11366.292134831461</v>
      </c>
      <c r="M24" s="529">
        <v>0</v>
      </c>
      <c r="N24" s="401">
        <f t="shared" si="11"/>
        <v>0</v>
      </c>
      <c r="O24" s="401">
        <v>7</v>
      </c>
      <c r="P24" s="403">
        <f t="shared" si="8"/>
        <v>1623.7560192616372</v>
      </c>
    </row>
    <row r="25" spans="2:16" x14ac:dyDescent="0.15">
      <c r="B25" s="985"/>
      <c r="C25" s="539" t="s">
        <v>602</v>
      </c>
      <c r="D25" s="598" t="s">
        <v>603</v>
      </c>
      <c r="E25" s="592">
        <v>1</v>
      </c>
      <c r="F25" s="597" t="s">
        <v>103</v>
      </c>
      <c r="G25" s="592">
        <f>273000*1.08</f>
        <v>294840</v>
      </c>
      <c r="H25" s="538">
        <v>0</v>
      </c>
      <c r="I25" s="537">
        <f t="shared" si="9"/>
        <v>294840</v>
      </c>
      <c r="J25" s="270" t="s">
        <v>686</v>
      </c>
      <c r="K25" s="321">
        <f t="shared" si="7"/>
        <v>3.7453183520599252E-2</v>
      </c>
      <c r="L25" s="270">
        <f t="shared" si="10"/>
        <v>11042.696629213484</v>
      </c>
      <c r="M25" s="529">
        <v>0</v>
      </c>
      <c r="N25" s="401">
        <f t="shared" si="11"/>
        <v>0</v>
      </c>
      <c r="O25" s="401">
        <v>7</v>
      </c>
      <c r="P25" s="403">
        <f t="shared" si="8"/>
        <v>1577.5280898876406</v>
      </c>
    </row>
    <row r="26" spans="2:16" x14ac:dyDescent="0.15">
      <c r="B26" s="985"/>
      <c r="C26" s="539" t="s">
        <v>604</v>
      </c>
      <c r="D26" s="600" t="s">
        <v>605</v>
      </c>
      <c r="E26" s="592">
        <v>1</v>
      </c>
      <c r="F26" s="597" t="s">
        <v>103</v>
      </c>
      <c r="G26" s="592">
        <f>339000*1.08</f>
        <v>366120</v>
      </c>
      <c r="H26" s="538">
        <v>0</v>
      </c>
      <c r="I26" s="537">
        <f t="shared" si="9"/>
        <v>366120</v>
      </c>
      <c r="J26" s="270" t="s">
        <v>686</v>
      </c>
      <c r="K26" s="321">
        <f t="shared" si="7"/>
        <v>3.7453183520599252E-2</v>
      </c>
      <c r="L26" s="270">
        <f t="shared" si="10"/>
        <v>13712.359550561798</v>
      </c>
      <c r="M26" s="529">
        <v>0</v>
      </c>
      <c r="N26" s="401">
        <f t="shared" si="11"/>
        <v>0</v>
      </c>
      <c r="O26" s="401">
        <v>7</v>
      </c>
      <c r="P26" s="403">
        <f t="shared" si="8"/>
        <v>1958.9085072231139</v>
      </c>
    </row>
    <row r="27" spans="2:16" x14ac:dyDescent="0.15">
      <c r="B27" s="985"/>
      <c r="C27" s="539" t="s">
        <v>550</v>
      </c>
      <c r="D27" s="598" t="s">
        <v>691</v>
      </c>
      <c r="E27" s="592">
        <v>1</v>
      </c>
      <c r="F27" s="597" t="s">
        <v>103</v>
      </c>
      <c r="G27" s="592">
        <f>543800*1.08*E27</f>
        <v>587304</v>
      </c>
      <c r="H27" s="538">
        <v>0</v>
      </c>
      <c r="I27" s="537">
        <f t="shared" si="9"/>
        <v>587304</v>
      </c>
      <c r="J27" s="270" t="s">
        <v>686</v>
      </c>
      <c r="K27" s="321">
        <f t="shared" si="7"/>
        <v>3.7453183520599252E-2</v>
      </c>
      <c r="L27" s="270">
        <f t="shared" si="10"/>
        <v>21996.404494382023</v>
      </c>
      <c r="M27" s="529">
        <v>0</v>
      </c>
      <c r="N27" s="401">
        <f t="shared" si="11"/>
        <v>0</v>
      </c>
      <c r="O27" s="401">
        <v>7</v>
      </c>
      <c r="P27" s="403">
        <f t="shared" si="8"/>
        <v>3142.3434991974318</v>
      </c>
    </row>
    <row r="28" spans="2:16" x14ac:dyDescent="0.15">
      <c r="B28" s="985"/>
      <c r="C28" s="539" t="s">
        <v>591</v>
      </c>
      <c r="D28" s="539" t="s">
        <v>592</v>
      </c>
      <c r="E28" s="592">
        <v>2255</v>
      </c>
      <c r="F28" s="597" t="s">
        <v>593</v>
      </c>
      <c r="G28" s="592">
        <f>450*1.08*E28</f>
        <v>1095930.0000000002</v>
      </c>
      <c r="H28" s="538">
        <v>0</v>
      </c>
      <c r="I28" s="537">
        <f>G28*(1-H28)</f>
        <v>1095930.0000000002</v>
      </c>
      <c r="J28" s="270" t="s">
        <v>686</v>
      </c>
      <c r="K28" s="321">
        <f t="shared" si="7"/>
        <v>3.7453183520599252E-2</v>
      </c>
      <c r="L28" s="270">
        <f t="shared" si="10"/>
        <v>41046.067415730344</v>
      </c>
      <c r="M28" s="529">
        <v>0</v>
      </c>
      <c r="N28" s="401">
        <f t="shared" si="11"/>
        <v>0</v>
      </c>
      <c r="O28" s="401">
        <v>7</v>
      </c>
      <c r="P28" s="403">
        <f t="shared" si="8"/>
        <v>5863.7239165329065</v>
      </c>
    </row>
    <row r="29" spans="2:16" x14ac:dyDescent="0.15">
      <c r="B29" s="985"/>
      <c r="C29" s="539" t="s">
        <v>594</v>
      </c>
      <c r="D29" s="539" t="s">
        <v>595</v>
      </c>
      <c r="E29" s="592">
        <v>1</v>
      </c>
      <c r="F29" s="597" t="s">
        <v>103</v>
      </c>
      <c r="G29" s="592">
        <f>15000000*1.08</f>
        <v>16200000.000000002</v>
      </c>
      <c r="H29" s="538">
        <v>0</v>
      </c>
      <c r="I29" s="537">
        <f t="shared" si="9"/>
        <v>16200000.000000002</v>
      </c>
      <c r="J29" s="270" t="s">
        <v>686</v>
      </c>
      <c r="K29" s="321">
        <f t="shared" si="7"/>
        <v>3.7453183520599252E-2</v>
      </c>
      <c r="L29" s="270">
        <f t="shared" si="10"/>
        <v>606741.57303370791</v>
      </c>
      <c r="M29" s="529">
        <v>0</v>
      </c>
      <c r="N29" s="401">
        <f t="shared" si="11"/>
        <v>0</v>
      </c>
      <c r="O29" s="401">
        <v>7</v>
      </c>
      <c r="P29" s="403">
        <f t="shared" si="8"/>
        <v>86677.367576243982</v>
      </c>
    </row>
    <row r="30" spans="2:16" x14ac:dyDescent="0.15">
      <c r="B30" s="985"/>
      <c r="C30" s="539" t="s">
        <v>596</v>
      </c>
      <c r="D30" s="592"/>
      <c r="E30" s="601">
        <v>1</v>
      </c>
      <c r="F30" s="597" t="s">
        <v>103</v>
      </c>
      <c r="G30" s="592">
        <v>500000</v>
      </c>
      <c r="H30" s="538">
        <v>0</v>
      </c>
      <c r="I30" s="537">
        <f t="shared" si="9"/>
        <v>500000</v>
      </c>
      <c r="J30" s="270" t="s">
        <v>686</v>
      </c>
      <c r="K30" s="321">
        <f t="shared" si="7"/>
        <v>3.7453183520599252E-2</v>
      </c>
      <c r="L30" s="270">
        <f t="shared" si="10"/>
        <v>18726.591760299627</v>
      </c>
      <c r="M30" s="529">
        <v>0</v>
      </c>
      <c r="N30" s="401">
        <f t="shared" si="11"/>
        <v>0</v>
      </c>
      <c r="O30" s="401">
        <v>7</v>
      </c>
      <c r="P30" s="403">
        <f t="shared" si="8"/>
        <v>2675.2273943285181</v>
      </c>
    </row>
    <row r="31" spans="2:16" x14ac:dyDescent="0.15">
      <c r="B31" s="985"/>
      <c r="C31" s="539" t="s">
        <v>234</v>
      </c>
      <c r="D31" s="539" t="s">
        <v>597</v>
      </c>
      <c r="E31" s="592">
        <v>1</v>
      </c>
      <c r="F31" s="597" t="s">
        <v>103</v>
      </c>
      <c r="G31" s="592">
        <v>1500000</v>
      </c>
      <c r="H31" s="538">
        <v>0</v>
      </c>
      <c r="I31" s="537">
        <f t="shared" ref="I31:I32" si="12">G31*(1-H31)</f>
        <v>1500000</v>
      </c>
      <c r="J31" s="270" t="s">
        <v>686</v>
      </c>
      <c r="K31" s="321">
        <f t="shared" si="7"/>
        <v>3.7453183520599252E-2</v>
      </c>
      <c r="L31" s="270">
        <f t="shared" si="10"/>
        <v>56179.775280898881</v>
      </c>
      <c r="M31" s="529">
        <v>0</v>
      </c>
      <c r="N31" s="401">
        <f t="shared" si="11"/>
        <v>0</v>
      </c>
      <c r="O31" s="401">
        <v>2</v>
      </c>
      <c r="P31" s="403">
        <f t="shared" si="8"/>
        <v>28089.88764044944</v>
      </c>
    </row>
    <row r="32" spans="2:16" x14ac:dyDescent="0.15">
      <c r="B32" s="985"/>
      <c r="C32" s="999" t="s">
        <v>229</v>
      </c>
      <c r="D32" s="1002"/>
      <c r="E32" s="972">
        <v>1</v>
      </c>
      <c r="F32" s="1005" t="s">
        <v>103</v>
      </c>
      <c r="G32" s="972">
        <v>920000</v>
      </c>
      <c r="H32" s="975">
        <v>0</v>
      </c>
      <c r="I32" s="978">
        <f t="shared" si="12"/>
        <v>920000</v>
      </c>
      <c r="J32" s="270" t="s">
        <v>686</v>
      </c>
      <c r="K32" s="321">
        <f>26.7/30/26.7</f>
        <v>3.3333333333333333E-2</v>
      </c>
      <c r="L32" s="270">
        <f t="shared" si="10"/>
        <v>30666.666666666668</v>
      </c>
      <c r="M32" s="529">
        <v>0</v>
      </c>
      <c r="N32" s="401">
        <f t="shared" si="11"/>
        <v>0</v>
      </c>
      <c r="O32" s="401">
        <v>4</v>
      </c>
      <c r="P32" s="403">
        <f t="shared" si="8"/>
        <v>7666.666666666667</v>
      </c>
    </row>
    <row r="33" spans="2:16" x14ac:dyDescent="0.15">
      <c r="B33" s="985"/>
      <c r="C33" s="1000"/>
      <c r="D33" s="1003"/>
      <c r="E33" s="973"/>
      <c r="F33" s="1006"/>
      <c r="G33" s="973"/>
      <c r="H33" s="976"/>
      <c r="I33" s="979"/>
      <c r="J33" s="270" t="s">
        <v>692</v>
      </c>
      <c r="K33" s="321">
        <f>1.3/30/1.3</f>
        <v>3.3333333333333333E-2</v>
      </c>
      <c r="L33" s="270">
        <f>I32*K33</f>
        <v>30666.666666666668</v>
      </c>
      <c r="M33" s="529">
        <v>0</v>
      </c>
      <c r="N33" s="401">
        <f t="shared" si="11"/>
        <v>0</v>
      </c>
      <c r="O33" s="401">
        <v>4</v>
      </c>
      <c r="P33" s="403">
        <f t="shared" si="8"/>
        <v>7666.666666666667</v>
      </c>
    </row>
    <row r="34" spans="2:16" x14ac:dyDescent="0.15">
      <c r="B34" s="985"/>
      <c r="C34" s="1001"/>
      <c r="D34" s="1004"/>
      <c r="E34" s="974"/>
      <c r="F34" s="1007"/>
      <c r="G34" s="974"/>
      <c r="H34" s="977"/>
      <c r="I34" s="980"/>
      <c r="J34" s="270" t="s">
        <v>681</v>
      </c>
      <c r="K34" s="321">
        <f>2/30/2</f>
        <v>3.3333333333333333E-2</v>
      </c>
      <c r="L34" s="270">
        <f>I32*K34</f>
        <v>30666.666666666668</v>
      </c>
      <c r="M34" s="529">
        <v>0</v>
      </c>
      <c r="N34" s="401">
        <f t="shared" si="11"/>
        <v>0</v>
      </c>
      <c r="O34" s="401">
        <v>4</v>
      </c>
      <c r="P34" s="403">
        <f t="shared" si="8"/>
        <v>7666.666666666667</v>
      </c>
    </row>
    <row r="35" spans="2:16" x14ac:dyDescent="0.15">
      <c r="B35" s="985"/>
      <c r="C35" s="981" t="s">
        <v>315</v>
      </c>
      <c r="D35" s="967"/>
      <c r="E35" s="1008">
        <v>3</v>
      </c>
      <c r="F35" s="967" t="s">
        <v>58</v>
      </c>
      <c r="G35" s="968">
        <f>365800*3</f>
        <v>1097400</v>
      </c>
      <c r="H35" s="970">
        <v>0</v>
      </c>
      <c r="I35" s="968">
        <f>G35*(1-H35)</f>
        <v>1097400</v>
      </c>
      <c r="J35" s="270" t="s">
        <v>695</v>
      </c>
      <c r="K35" s="321">
        <f>1.3/3.3/1.3</f>
        <v>0.30303030303030304</v>
      </c>
      <c r="L35" s="270">
        <f>I35*K35</f>
        <v>332545.45454545453</v>
      </c>
      <c r="M35" s="535">
        <v>0</v>
      </c>
      <c r="N35" s="401">
        <f>L35*M35</f>
        <v>0</v>
      </c>
      <c r="O35" s="404">
        <v>7</v>
      </c>
      <c r="P35" s="403">
        <f t="shared" si="8"/>
        <v>47506.493506493505</v>
      </c>
    </row>
    <row r="36" spans="2:16" x14ac:dyDescent="0.15">
      <c r="B36" s="985"/>
      <c r="C36" s="982"/>
      <c r="D36" s="964"/>
      <c r="E36" s="1009"/>
      <c r="F36" s="964"/>
      <c r="G36" s="998"/>
      <c r="H36" s="1010"/>
      <c r="I36" s="998"/>
      <c r="J36" s="270" t="s">
        <v>681</v>
      </c>
      <c r="K36" s="321">
        <f>2/3.3/2</f>
        <v>0.30303030303030304</v>
      </c>
      <c r="L36" s="270">
        <f>I35*K36</f>
        <v>332545.45454545453</v>
      </c>
      <c r="M36" s="535">
        <v>0</v>
      </c>
      <c r="N36" s="401">
        <f>L36*M36</f>
        <v>0</v>
      </c>
      <c r="O36" s="404">
        <v>7</v>
      </c>
      <c r="P36" s="403">
        <f t="shared" si="8"/>
        <v>47506.493506493505</v>
      </c>
    </row>
    <row r="37" spans="2:16" x14ac:dyDescent="0.15">
      <c r="B37" s="985"/>
      <c r="C37" s="981" t="s">
        <v>316</v>
      </c>
      <c r="D37" s="981"/>
      <c r="E37" s="1008">
        <v>1</v>
      </c>
      <c r="F37" s="967" t="s">
        <v>317</v>
      </c>
      <c r="G37" s="968">
        <f>375000*30</f>
        <v>11250000</v>
      </c>
      <c r="H37" s="970">
        <v>0</v>
      </c>
      <c r="I37" s="968">
        <f>G37*(1-H37)</f>
        <v>11250000</v>
      </c>
      <c r="J37" s="270" t="s">
        <v>685</v>
      </c>
      <c r="K37" s="321">
        <f>1.3/3.3/1.3</f>
        <v>0.30303030303030304</v>
      </c>
      <c r="L37" s="270">
        <f>I37*K37</f>
        <v>3409090.9090909092</v>
      </c>
      <c r="M37" s="535">
        <v>0</v>
      </c>
      <c r="N37" s="401">
        <f t="shared" ref="N37:N55" si="13">L37*M37</f>
        <v>0</v>
      </c>
      <c r="O37" s="404">
        <v>7</v>
      </c>
      <c r="P37" s="403">
        <f t="shared" si="8"/>
        <v>487012.98701298703</v>
      </c>
    </row>
    <row r="38" spans="2:16" x14ac:dyDescent="0.15">
      <c r="B38" s="985"/>
      <c r="C38" s="982"/>
      <c r="D38" s="982"/>
      <c r="E38" s="1009"/>
      <c r="F38" s="964"/>
      <c r="G38" s="998"/>
      <c r="H38" s="1010"/>
      <c r="I38" s="998"/>
      <c r="J38" s="270" t="s">
        <v>681</v>
      </c>
      <c r="K38" s="321">
        <f>2/3.3/2</f>
        <v>0.30303030303030304</v>
      </c>
      <c r="L38" s="270">
        <f>I37*K38</f>
        <v>3409090.9090909092</v>
      </c>
      <c r="M38" s="535">
        <v>0</v>
      </c>
      <c r="N38" s="401">
        <f t="shared" si="13"/>
        <v>0</v>
      </c>
      <c r="O38" s="404">
        <v>7</v>
      </c>
      <c r="P38" s="403">
        <f t="shared" si="8"/>
        <v>487012.98701298703</v>
      </c>
    </row>
    <row r="39" spans="2:16" x14ac:dyDescent="0.15">
      <c r="B39" s="985"/>
      <c r="C39" s="981" t="s">
        <v>278</v>
      </c>
      <c r="D39" s="981"/>
      <c r="E39" s="1008">
        <v>3</v>
      </c>
      <c r="F39" s="967" t="s">
        <v>58</v>
      </c>
      <c r="G39" s="968">
        <f>810000*3</f>
        <v>2430000</v>
      </c>
      <c r="H39" s="970">
        <v>0</v>
      </c>
      <c r="I39" s="968">
        <f t="shared" ref="I39" si="14">G39*(1-H39)</f>
        <v>2430000</v>
      </c>
      <c r="J39" s="270" t="s">
        <v>685</v>
      </c>
      <c r="K39" s="321">
        <f t="shared" ref="K39:K45" si="15">1.3/3.3/1.3</f>
        <v>0.30303030303030304</v>
      </c>
      <c r="L39" s="270">
        <f>I39*K39</f>
        <v>736363.63636363635</v>
      </c>
      <c r="M39" s="535">
        <v>0</v>
      </c>
      <c r="N39" s="401">
        <f t="shared" si="13"/>
        <v>0</v>
      </c>
      <c r="O39" s="404">
        <v>7</v>
      </c>
      <c r="P39" s="403">
        <f t="shared" si="8"/>
        <v>105194.80519480519</v>
      </c>
    </row>
    <row r="40" spans="2:16" x14ac:dyDescent="0.15">
      <c r="B40" s="985"/>
      <c r="C40" s="982"/>
      <c r="D40" s="982"/>
      <c r="E40" s="1009"/>
      <c r="F40" s="964"/>
      <c r="G40" s="998"/>
      <c r="H40" s="1010"/>
      <c r="I40" s="998"/>
      <c r="J40" s="270" t="s">
        <v>681</v>
      </c>
      <c r="K40" s="321">
        <f>2/3.3/2</f>
        <v>0.30303030303030304</v>
      </c>
      <c r="L40" s="270">
        <f>I39*K40</f>
        <v>736363.63636363635</v>
      </c>
      <c r="M40" s="535">
        <v>0</v>
      </c>
      <c r="N40" s="401">
        <f t="shared" si="13"/>
        <v>0</v>
      </c>
      <c r="O40" s="404">
        <v>7</v>
      </c>
      <c r="P40" s="403">
        <f t="shared" si="8"/>
        <v>105194.80519480519</v>
      </c>
    </row>
    <row r="41" spans="2:16" x14ac:dyDescent="0.15">
      <c r="B41" s="985"/>
      <c r="C41" s="1012" t="s">
        <v>696</v>
      </c>
      <c r="D41" s="1012"/>
      <c r="E41" s="1008">
        <v>1</v>
      </c>
      <c r="F41" s="1014" t="s">
        <v>103</v>
      </c>
      <c r="G41" s="968">
        <f>300000</f>
        <v>300000</v>
      </c>
      <c r="H41" s="970">
        <v>0</v>
      </c>
      <c r="I41" s="968">
        <f>G41*(1-H41)</f>
        <v>300000</v>
      </c>
      <c r="J41" s="270" t="s">
        <v>685</v>
      </c>
      <c r="K41" s="321">
        <f t="shared" si="15"/>
        <v>0.30303030303030304</v>
      </c>
      <c r="L41" s="270">
        <f>I41*K41</f>
        <v>90909.090909090912</v>
      </c>
      <c r="M41" s="535">
        <v>0</v>
      </c>
      <c r="N41" s="401">
        <f t="shared" si="13"/>
        <v>0</v>
      </c>
      <c r="O41" s="404">
        <v>7</v>
      </c>
      <c r="P41" s="403">
        <f t="shared" si="8"/>
        <v>12987.012987012988</v>
      </c>
    </row>
    <row r="42" spans="2:16" x14ac:dyDescent="0.15">
      <c r="B42" s="985"/>
      <c r="C42" s="1013"/>
      <c r="D42" s="1013"/>
      <c r="E42" s="1009"/>
      <c r="F42" s="1015"/>
      <c r="G42" s="998"/>
      <c r="H42" s="1010"/>
      <c r="I42" s="998"/>
      <c r="J42" s="270" t="s">
        <v>681</v>
      </c>
      <c r="K42" s="321">
        <f>2/3.3/2</f>
        <v>0.30303030303030304</v>
      </c>
      <c r="L42" s="270">
        <f>I41*K42</f>
        <v>90909.090909090912</v>
      </c>
      <c r="M42" s="535">
        <v>0</v>
      </c>
      <c r="N42" s="401">
        <f t="shared" si="13"/>
        <v>0</v>
      </c>
      <c r="O42" s="404">
        <v>7</v>
      </c>
      <c r="P42" s="403">
        <f t="shared" si="8"/>
        <v>12987.012987012988</v>
      </c>
    </row>
    <row r="43" spans="2:16" x14ac:dyDescent="0.15">
      <c r="B43" s="985"/>
      <c r="C43" s="981" t="s">
        <v>697</v>
      </c>
      <c r="D43" s="981"/>
      <c r="E43" s="1008">
        <v>2</v>
      </c>
      <c r="F43" s="967" t="s">
        <v>103</v>
      </c>
      <c r="G43" s="968">
        <v>400000</v>
      </c>
      <c r="H43" s="970">
        <v>0</v>
      </c>
      <c r="I43" s="968">
        <f t="shared" ref="I43" si="16">G43*(1-H43)</f>
        <v>400000</v>
      </c>
      <c r="J43" s="270" t="s">
        <v>692</v>
      </c>
      <c r="K43" s="321">
        <f t="shared" si="15"/>
        <v>0.30303030303030304</v>
      </c>
      <c r="L43" s="270">
        <f>I43*K43</f>
        <v>121212.12121212122</v>
      </c>
      <c r="M43" s="535">
        <v>0</v>
      </c>
      <c r="N43" s="401">
        <f t="shared" si="13"/>
        <v>0</v>
      </c>
      <c r="O43" s="404">
        <v>7</v>
      </c>
      <c r="P43" s="403">
        <f t="shared" si="8"/>
        <v>17316.017316017318</v>
      </c>
    </row>
    <row r="44" spans="2:16" x14ac:dyDescent="0.15">
      <c r="B44" s="985"/>
      <c r="C44" s="1011"/>
      <c r="D44" s="982"/>
      <c r="E44" s="1009"/>
      <c r="F44" s="964"/>
      <c r="G44" s="998"/>
      <c r="H44" s="1010"/>
      <c r="I44" s="998"/>
      <c r="J44" s="270" t="s">
        <v>681</v>
      </c>
      <c r="K44" s="321">
        <f>2/3.3/2</f>
        <v>0.30303030303030304</v>
      </c>
      <c r="L44" s="270">
        <f>I43*K44</f>
        <v>121212.12121212122</v>
      </c>
      <c r="M44" s="535">
        <v>0</v>
      </c>
      <c r="N44" s="401">
        <f t="shared" si="13"/>
        <v>0</v>
      </c>
      <c r="O44" s="404">
        <v>7</v>
      </c>
      <c r="P44" s="403">
        <f t="shared" si="8"/>
        <v>17316.017316017318</v>
      </c>
    </row>
    <row r="45" spans="2:16" x14ac:dyDescent="0.15">
      <c r="B45" s="985"/>
      <c r="C45" s="1016" t="s">
        <v>693</v>
      </c>
      <c r="D45" s="981" t="s">
        <v>373</v>
      </c>
      <c r="E45" s="978">
        <v>1</v>
      </c>
      <c r="F45" s="967" t="s">
        <v>103</v>
      </c>
      <c r="G45" s="978">
        <v>685800</v>
      </c>
      <c r="H45" s="970">
        <v>0</v>
      </c>
      <c r="I45" s="978">
        <f t="shared" ref="I45" si="17">G45*(1-H45)</f>
        <v>685800</v>
      </c>
      <c r="J45" s="270" t="s">
        <v>692</v>
      </c>
      <c r="K45" s="321">
        <f t="shared" si="15"/>
        <v>0.30303030303030304</v>
      </c>
      <c r="L45" s="270">
        <f>I45*K45</f>
        <v>207818.18181818182</v>
      </c>
      <c r="M45" s="535">
        <v>0</v>
      </c>
      <c r="N45" s="401">
        <f t="shared" si="13"/>
        <v>0</v>
      </c>
      <c r="O45" s="404">
        <v>7</v>
      </c>
      <c r="P45" s="403">
        <f t="shared" si="8"/>
        <v>29688.311688311689</v>
      </c>
    </row>
    <row r="46" spans="2:16" x14ac:dyDescent="0.15">
      <c r="B46" s="985"/>
      <c r="C46" s="1017"/>
      <c r="D46" s="1011"/>
      <c r="E46" s="980"/>
      <c r="F46" s="964"/>
      <c r="G46" s="1022"/>
      <c r="H46" s="1010"/>
      <c r="I46" s="980"/>
      <c r="J46" s="270" t="s">
        <v>681</v>
      </c>
      <c r="K46" s="321">
        <f>2/3.3/2</f>
        <v>0.30303030303030304</v>
      </c>
      <c r="L46" s="270">
        <f>I45*K46</f>
        <v>207818.18181818182</v>
      </c>
      <c r="M46" s="535">
        <v>0</v>
      </c>
      <c r="N46" s="401">
        <f t="shared" si="13"/>
        <v>0</v>
      </c>
      <c r="O46" s="404">
        <v>7</v>
      </c>
      <c r="P46" s="403">
        <f t="shared" si="8"/>
        <v>29688.311688311689</v>
      </c>
    </row>
    <row r="47" spans="2:16" x14ac:dyDescent="0.15">
      <c r="B47" s="985"/>
      <c r="C47" s="965"/>
      <c r="D47" s="965"/>
      <c r="E47" s="965"/>
      <c r="F47" s="967"/>
      <c r="G47" s="965"/>
      <c r="H47" s="1018"/>
      <c r="I47" s="1020">
        <f>G47*(1-H47)</f>
        <v>0</v>
      </c>
      <c r="J47" s="694"/>
      <c r="K47" s="695"/>
      <c r="L47" s="694">
        <f>I47*K47</f>
        <v>0</v>
      </c>
      <c r="M47" s="696"/>
      <c r="N47" s="694">
        <f t="shared" si="13"/>
        <v>0</v>
      </c>
      <c r="O47" s="697"/>
      <c r="P47" s="698" t="str">
        <f t="shared" si="8"/>
        <v/>
      </c>
    </row>
    <row r="48" spans="2:16" x14ac:dyDescent="0.15">
      <c r="B48" s="985"/>
      <c r="C48" s="966"/>
      <c r="D48" s="966"/>
      <c r="E48" s="966"/>
      <c r="F48" s="964"/>
      <c r="G48" s="966"/>
      <c r="H48" s="1019"/>
      <c r="I48" s="1021"/>
      <c r="J48" s="694"/>
      <c r="K48" s="695"/>
      <c r="L48" s="694">
        <f>I47*K48</f>
        <v>0</v>
      </c>
      <c r="M48" s="696"/>
      <c r="N48" s="694">
        <f t="shared" si="13"/>
        <v>0</v>
      </c>
      <c r="O48" s="697"/>
      <c r="P48" s="698" t="str">
        <f t="shared" si="8"/>
        <v/>
      </c>
    </row>
    <row r="49" spans="2:16" x14ac:dyDescent="0.15">
      <c r="B49" s="985"/>
      <c r="C49" s="965"/>
      <c r="D49" s="965"/>
      <c r="E49" s="965"/>
      <c r="F49" s="967"/>
      <c r="G49" s="965"/>
      <c r="H49" s="1018"/>
      <c r="I49" s="1020">
        <f>G49*(1-H49)</f>
        <v>0</v>
      </c>
      <c r="J49" s="694"/>
      <c r="K49" s="695"/>
      <c r="L49" s="694">
        <f>I49*K49</f>
        <v>0</v>
      </c>
      <c r="M49" s="696"/>
      <c r="N49" s="694">
        <f t="shared" si="13"/>
        <v>0</v>
      </c>
      <c r="O49" s="697"/>
      <c r="P49" s="698" t="str">
        <f t="shared" si="8"/>
        <v/>
      </c>
    </row>
    <row r="50" spans="2:16" x14ac:dyDescent="0.15">
      <c r="B50" s="985"/>
      <c r="C50" s="966"/>
      <c r="D50" s="966"/>
      <c r="E50" s="966"/>
      <c r="F50" s="964"/>
      <c r="G50" s="966"/>
      <c r="H50" s="1019"/>
      <c r="I50" s="1021"/>
      <c r="J50" s="694"/>
      <c r="K50" s="695"/>
      <c r="L50" s="694">
        <f>I49*K50</f>
        <v>0</v>
      </c>
      <c r="M50" s="696"/>
      <c r="N50" s="694">
        <f t="shared" si="13"/>
        <v>0</v>
      </c>
      <c r="O50" s="697"/>
      <c r="P50" s="698" t="str">
        <f t="shared" si="8"/>
        <v/>
      </c>
    </row>
    <row r="51" spans="2:16" x14ac:dyDescent="0.15">
      <c r="B51" s="985"/>
      <c r="C51" s="965"/>
      <c r="D51" s="965"/>
      <c r="E51" s="965"/>
      <c r="F51" s="967"/>
      <c r="G51" s="965"/>
      <c r="H51" s="1018"/>
      <c r="I51" s="1020">
        <f>G51*(1-H51)</f>
        <v>0</v>
      </c>
      <c r="J51" s="694"/>
      <c r="K51" s="695"/>
      <c r="L51" s="694">
        <f>I51*K51</f>
        <v>0</v>
      </c>
      <c r="M51" s="696"/>
      <c r="N51" s="694">
        <f t="shared" si="13"/>
        <v>0</v>
      </c>
      <c r="O51" s="697"/>
      <c r="P51" s="698" t="str">
        <f t="shared" si="8"/>
        <v/>
      </c>
    </row>
    <row r="52" spans="2:16" x14ac:dyDescent="0.15">
      <c r="B52" s="985"/>
      <c r="C52" s="966"/>
      <c r="D52" s="966"/>
      <c r="E52" s="966"/>
      <c r="F52" s="964"/>
      <c r="G52" s="966"/>
      <c r="H52" s="1019"/>
      <c r="I52" s="1021"/>
      <c r="J52" s="694"/>
      <c r="K52" s="695"/>
      <c r="L52" s="694">
        <f>I51*K52</f>
        <v>0</v>
      </c>
      <c r="M52" s="696"/>
      <c r="N52" s="694">
        <f t="shared" si="13"/>
        <v>0</v>
      </c>
      <c r="O52" s="697"/>
      <c r="P52" s="698" t="str">
        <f t="shared" si="8"/>
        <v/>
      </c>
    </row>
    <row r="53" spans="2:16" x14ac:dyDescent="0.15">
      <c r="B53" s="985"/>
      <c r="C53" s="965"/>
      <c r="D53" s="965"/>
      <c r="E53" s="965"/>
      <c r="F53" s="967"/>
      <c r="G53" s="965"/>
      <c r="H53" s="1018"/>
      <c r="I53" s="1020">
        <f t="shared" ref="I53" si="18">G53*(1-H53)</f>
        <v>0</v>
      </c>
      <c r="J53" s="694"/>
      <c r="K53" s="695"/>
      <c r="L53" s="694">
        <f>I53*K53</f>
        <v>0</v>
      </c>
      <c r="M53" s="699"/>
      <c r="N53" s="694">
        <f t="shared" si="13"/>
        <v>0</v>
      </c>
      <c r="O53" s="694"/>
      <c r="P53" s="698" t="str">
        <f t="shared" si="8"/>
        <v/>
      </c>
    </row>
    <row r="54" spans="2:16" x14ac:dyDescent="0.15">
      <c r="B54" s="985"/>
      <c r="C54" s="1026"/>
      <c r="D54" s="1026"/>
      <c r="E54" s="1026"/>
      <c r="F54" s="988"/>
      <c r="G54" s="1026"/>
      <c r="H54" s="1023"/>
      <c r="I54" s="1024"/>
      <c r="J54" s="694"/>
      <c r="K54" s="695"/>
      <c r="L54" s="694">
        <f>I53*K54</f>
        <v>0</v>
      </c>
      <c r="M54" s="699"/>
      <c r="N54" s="694">
        <f t="shared" si="13"/>
        <v>0</v>
      </c>
      <c r="O54" s="694"/>
      <c r="P54" s="698" t="str">
        <f t="shared" si="8"/>
        <v/>
      </c>
    </row>
    <row r="55" spans="2:16" x14ac:dyDescent="0.15">
      <c r="B55" s="985"/>
      <c r="C55" s="966"/>
      <c r="D55" s="966"/>
      <c r="E55" s="966"/>
      <c r="F55" s="964"/>
      <c r="G55" s="966"/>
      <c r="H55" s="1019"/>
      <c r="I55" s="1021"/>
      <c r="J55" s="694"/>
      <c r="K55" s="695"/>
      <c r="L55" s="694">
        <f>I53*K55</f>
        <v>0</v>
      </c>
      <c r="M55" s="699"/>
      <c r="N55" s="694">
        <f t="shared" si="13"/>
        <v>0</v>
      </c>
      <c r="O55" s="694"/>
      <c r="P55" s="698" t="str">
        <f t="shared" si="8"/>
        <v/>
      </c>
    </row>
    <row r="56" spans="2:16" x14ac:dyDescent="0.15">
      <c r="B56" s="986"/>
      <c r="C56" s="532" t="s">
        <v>46</v>
      </c>
      <c r="D56" s="532"/>
      <c r="E56" s="532"/>
      <c r="F56" s="531"/>
      <c r="G56" s="532">
        <f>SUM(G18:G53)</f>
        <v>67055234</v>
      </c>
      <c r="H56" s="532"/>
      <c r="I56" s="532">
        <f>SUM(I18:I53)</f>
        <v>67055234</v>
      </c>
      <c r="J56" s="532"/>
      <c r="K56" s="533"/>
      <c r="L56" s="532">
        <f>SUM(L18:L53)</f>
        <v>11759490.548178416</v>
      </c>
      <c r="M56" s="532"/>
      <c r="N56" s="532"/>
      <c r="O56" s="532"/>
      <c r="P56" s="534">
        <f>SUM(P18:P53)</f>
        <v>1709848.5694829514</v>
      </c>
    </row>
    <row r="57" spans="2:16" x14ac:dyDescent="0.15">
      <c r="B57" s="1025" t="s">
        <v>141</v>
      </c>
      <c r="C57" s="270" t="s">
        <v>694</v>
      </c>
      <c r="D57" s="270"/>
      <c r="E57" s="270">
        <v>1</v>
      </c>
      <c r="F57" s="48" t="s">
        <v>317</v>
      </c>
      <c r="G57" s="270">
        <f>4319820*3</f>
        <v>12959460</v>
      </c>
      <c r="H57" s="322"/>
      <c r="I57" s="270">
        <f t="shared" ref="I57:I60" si="19">G57*(1-H57)</f>
        <v>12959460</v>
      </c>
      <c r="J57" s="270" t="s">
        <v>698</v>
      </c>
      <c r="K57" s="321">
        <f>3.3/3.3/3.3</f>
        <v>0.30303030303030304</v>
      </c>
      <c r="L57" s="270">
        <f>I57*K57</f>
        <v>3927109.0909090908</v>
      </c>
      <c r="M57" s="536">
        <v>0.05</v>
      </c>
      <c r="N57" s="401">
        <f>L57*M57</f>
        <v>196355.45454545456</v>
      </c>
      <c r="O57" s="401">
        <v>11</v>
      </c>
      <c r="P57" s="403">
        <f>IF(O57="","",(L57-N57)/O57)</f>
        <v>339159.42148760328</v>
      </c>
    </row>
    <row r="58" spans="2:16" x14ac:dyDescent="0.15">
      <c r="B58" s="985"/>
      <c r="C58" s="401"/>
      <c r="D58" s="401"/>
      <c r="E58" s="401"/>
      <c r="F58" s="402"/>
      <c r="G58" s="401"/>
      <c r="H58" s="536"/>
      <c r="I58" s="694">
        <f t="shared" si="19"/>
        <v>0</v>
      </c>
      <c r="J58" s="694"/>
      <c r="K58" s="695"/>
      <c r="L58" s="694">
        <f>I58*K58</f>
        <v>0</v>
      </c>
      <c r="M58" s="700"/>
      <c r="N58" s="694">
        <f>L58*M58</f>
        <v>0</v>
      </c>
      <c r="O58" s="694"/>
      <c r="P58" s="698" t="str">
        <f>IF(O58="","",(L58-N58)/O58)</f>
        <v/>
      </c>
    </row>
    <row r="59" spans="2:16" x14ac:dyDescent="0.15">
      <c r="B59" s="985"/>
      <c r="C59" s="401"/>
      <c r="D59" s="401"/>
      <c r="E59" s="401"/>
      <c r="F59" s="402"/>
      <c r="G59" s="401"/>
      <c r="H59" s="536"/>
      <c r="I59" s="694">
        <f t="shared" si="19"/>
        <v>0</v>
      </c>
      <c r="J59" s="694"/>
      <c r="K59" s="695"/>
      <c r="L59" s="694">
        <f>I59*K59</f>
        <v>0</v>
      </c>
      <c r="M59" s="700"/>
      <c r="N59" s="694">
        <f>L59*M59</f>
        <v>0</v>
      </c>
      <c r="O59" s="694"/>
      <c r="P59" s="698" t="str">
        <f>IF(O59="","",(L59-N59)/O59)</f>
        <v/>
      </c>
    </row>
    <row r="60" spans="2:16" x14ac:dyDescent="0.15">
      <c r="B60" s="985"/>
      <c r="C60" s="401"/>
      <c r="D60" s="401"/>
      <c r="E60" s="401"/>
      <c r="F60" s="402"/>
      <c r="G60" s="401"/>
      <c r="H60" s="536"/>
      <c r="I60" s="694">
        <f t="shared" si="19"/>
        <v>0</v>
      </c>
      <c r="J60" s="694"/>
      <c r="K60" s="695"/>
      <c r="L60" s="694">
        <f>I60*K60</f>
        <v>0</v>
      </c>
      <c r="M60" s="700"/>
      <c r="N60" s="694">
        <f>L60*M60</f>
        <v>0</v>
      </c>
      <c r="O60" s="694"/>
      <c r="P60" s="698" t="str">
        <f>IF(O60="","",(L60-N60)/O60)</f>
        <v/>
      </c>
    </row>
    <row r="61" spans="2:16" x14ac:dyDescent="0.15">
      <c r="B61" s="986"/>
      <c r="C61" s="49" t="s">
        <v>46</v>
      </c>
      <c r="D61" s="532"/>
      <c r="E61" s="532"/>
      <c r="F61" s="531"/>
      <c r="G61" s="532">
        <f>SUM(G57:G60)</f>
        <v>12959460</v>
      </c>
      <c r="H61" s="532"/>
      <c r="I61" s="532">
        <f>SUM(I57:I60)</f>
        <v>12959460</v>
      </c>
      <c r="J61" s="532"/>
      <c r="K61" s="533"/>
      <c r="L61" s="532">
        <f>SUM(L57:L60)</f>
        <v>3927109.0909090908</v>
      </c>
      <c r="M61" s="532"/>
      <c r="N61" s="532"/>
      <c r="O61" s="532"/>
      <c r="P61" s="534">
        <f>SUM(P57:P60)</f>
        <v>339159.42148760328</v>
      </c>
    </row>
    <row r="62" spans="2:16" ht="14.25" thickBot="1" x14ac:dyDescent="0.2">
      <c r="B62" s="50"/>
      <c r="C62" s="51" t="s">
        <v>699</v>
      </c>
      <c r="D62" s="52"/>
      <c r="E62" s="52"/>
      <c r="F62" s="564"/>
      <c r="G62" s="52">
        <f>G17+G56+G61</f>
        <v>160568444</v>
      </c>
      <c r="H62" s="52"/>
      <c r="I62" s="52">
        <f>I17+I56+I61</f>
        <v>160568444</v>
      </c>
      <c r="J62" s="52"/>
      <c r="K62" s="53"/>
      <c r="L62" s="52">
        <f>L17+L56+L61</f>
        <v>36186633.729996599</v>
      </c>
      <c r="M62" s="52"/>
      <c r="N62" s="52"/>
      <c r="O62" s="52"/>
      <c r="P62" s="275">
        <f>P17+P56+P61</f>
        <v>3965623.7636978277</v>
      </c>
    </row>
    <row r="63" spans="2:16" ht="11.25" customHeight="1" x14ac:dyDescent="0.15"/>
    <row r="64" spans="2:16" ht="11.25" customHeight="1" x14ac:dyDescent="0.15">
      <c r="F64" s="43"/>
      <c r="K64" s="43"/>
    </row>
  </sheetData>
  <mergeCells count="100">
    <mergeCell ref="H53:H55"/>
    <mergeCell ref="I53:I55"/>
    <mergeCell ref="B57:B61"/>
    <mergeCell ref="C53:C55"/>
    <mergeCell ref="D53:D55"/>
    <mergeCell ref="E53:E55"/>
    <mergeCell ref="F53:F55"/>
    <mergeCell ref="G53:G55"/>
    <mergeCell ref="B18:B56"/>
    <mergeCell ref="H49:H50"/>
    <mergeCell ref="I49:I50"/>
    <mergeCell ref="C51:C52"/>
    <mergeCell ref="D51:D52"/>
    <mergeCell ref="E51:E52"/>
    <mergeCell ref="F51:F52"/>
    <mergeCell ref="G51:G52"/>
    <mergeCell ref="H51:H52"/>
    <mergeCell ref="I51:I52"/>
    <mergeCell ref="F45:F46"/>
    <mergeCell ref="G45:G46"/>
    <mergeCell ref="H45:H46"/>
    <mergeCell ref="I45:I46"/>
    <mergeCell ref="H47:H48"/>
    <mergeCell ref="I47:I48"/>
    <mergeCell ref="C47:C48"/>
    <mergeCell ref="D47:D48"/>
    <mergeCell ref="E47:E48"/>
    <mergeCell ref="F47:F48"/>
    <mergeCell ref="G47:G48"/>
    <mergeCell ref="C45:C46"/>
    <mergeCell ref="D45:D46"/>
    <mergeCell ref="E45:E46"/>
    <mergeCell ref="G41:G42"/>
    <mergeCell ref="H41:H42"/>
    <mergeCell ref="I41:I42"/>
    <mergeCell ref="C43:C44"/>
    <mergeCell ref="D43:D44"/>
    <mergeCell ref="E43:E44"/>
    <mergeCell ref="F43:F44"/>
    <mergeCell ref="G43:G44"/>
    <mergeCell ref="H43:H44"/>
    <mergeCell ref="I43:I44"/>
    <mergeCell ref="C41:C42"/>
    <mergeCell ref="D41:D42"/>
    <mergeCell ref="E41:E42"/>
    <mergeCell ref="F41:F42"/>
    <mergeCell ref="G37:G38"/>
    <mergeCell ref="H37:H38"/>
    <mergeCell ref="I37:I38"/>
    <mergeCell ref="C39:C40"/>
    <mergeCell ref="D39:D40"/>
    <mergeCell ref="E39:E40"/>
    <mergeCell ref="F39:F40"/>
    <mergeCell ref="G39:G40"/>
    <mergeCell ref="H39:H40"/>
    <mergeCell ref="I39:I40"/>
    <mergeCell ref="C37:C38"/>
    <mergeCell ref="D37:D38"/>
    <mergeCell ref="E37:E38"/>
    <mergeCell ref="F37:F38"/>
    <mergeCell ref="I35:I36"/>
    <mergeCell ref="C32:C34"/>
    <mergeCell ref="D32:D34"/>
    <mergeCell ref="E32:E34"/>
    <mergeCell ref="F32:F34"/>
    <mergeCell ref="D35:D36"/>
    <mergeCell ref="E35:E36"/>
    <mergeCell ref="F35:F36"/>
    <mergeCell ref="G35:G36"/>
    <mergeCell ref="H35:H36"/>
    <mergeCell ref="B4:B17"/>
    <mergeCell ref="C4:C5"/>
    <mergeCell ref="D4:D5"/>
    <mergeCell ref="E4:E5"/>
    <mergeCell ref="F4:F5"/>
    <mergeCell ref="C7:C9"/>
    <mergeCell ref="D7:D9"/>
    <mergeCell ref="E7:E9"/>
    <mergeCell ref="F7:F9"/>
    <mergeCell ref="J2:J3"/>
    <mergeCell ref="C49:C50"/>
    <mergeCell ref="D49:D50"/>
    <mergeCell ref="E49:E50"/>
    <mergeCell ref="F49:F50"/>
    <mergeCell ref="G49:G50"/>
    <mergeCell ref="G4:G5"/>
    <mergeCell ref="H4:H5"/>
    <mergeCell ref="I4:I5"/>
    <mergeCell ref="G7:G9"/>
    <mergeCell ref="H7:H9"/>
    <mergeCell ref="I7:I9"/>
    <mergeCell ref="G32:G34"/>
    <mergeCell ref="H32:H34"/>
    <mergeCell ref="I32:I34"/>
    <mergeCell ref="C35:C36"/>
    <mergeCell ref="F1:G1"/>
    <mergeCell ref="E2:F2"/>
    <mergeCell ref="B2:B3"/>
    <mergeCell ref="C2:C3"/>
    <mergeCell ref="D2:D3"/>
  </mergeCells>
  <phoneticPr fontId="4"/>
  <pageMargins left="0.78740157480314965" right="0.78740157480314965" top="0.78740157480314965" bottom="0.78740157480314965" header="0.39370078740157483" footer="0.39370078740157483"/>
  <pageSetup paperSize="9" scale="5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zoomScaleSheetLayoutView="75" workbookViewId="0"/>
  </sheetViews>
  <sheetFormatPr defaultColWidth="10.875" defaultRowHeight="13.5" x14ac:dyDescent="0.15"/>
  <cols>
    <col min="1" max="1" width="1.625" style="99" customWidth="1"/>
    <col min="2" max="2" width="5.875" style="99" customWidth="1"/>
    <col min="3" max="3" width="10.625" style="99" customWidth="1"/>
    <col min="4" max="4" width="12.375" style="99" customWidth="1"/>
    <col min="5" max="5" width="14.625" style="99" customWidth="1"/>
    <col min="6" max="7" width="15.875" style="99" customWidth="1"/>
    <col min="8" max="8" width="10.875" style="99"/>
    <col min="9" max="9" width="11.375" style="99" bestFit="1" customWidth="1"/>
    <col min="10" max="10" width="13.375" style="99" customWidth="1"/>
    <col min="11" max="11" width="7.125" style="99" customWidth="1"/>
    <col min="12" max="12" width="15.375" style="99" customWidth="1"/>
    <col min="13" max="13" width="9.375" style="99" bestFit="1" customWidth="1"/>
    <col min="14" max="14" width="10.875" style="99"/>
    <col min="15" max="15" width="7.25" style="99" customWidth="1"/>
    <col min="16" max="16" width="9.625" style="99" customWidth="1"/>
    <col min="17" max="17" width="10.875" style="99" customWidth="1"/>
    <col min="18" max="18" width="7.5" style="99" customWidth="1"/>
    <col min="19" max="19" width="3.75" style="99" customWidth="1"/>
    <col min="20" max="16384" width="10.875" style="99"/>
  </cols>
  <sheetData>
    <row r="1" spans="2:19" s="100" customFormat="1" ht="9.9499999999999993" customHeight="1" x14ac:dyDescent="0.15">
      <c r="B1" s="99"/>
      <c r="C1" s="99"/>
      <c r="D1" s="99"/>
      <c r="E1" s="99"/>
      <c r="F1" s="99"/>
      <c r="G1" s="99"/>
      <c r="H1" s="99"/>
      <c r="I1" s="99"/>
      <c r="J1" s="99"/>
      <c r="K1" s="99"/>
      <c r="L1" s="99"/>
      <c r="M1" s="99"/>
      <c r="N1" s="99"/>
      <c r="O1" s="99"/>
      <c r="P1" s="99"/>
      <c r="Q1" s="99"/>
      <c r="R1" s="99"/>
      <c r="S1" s="99"/>
    </row>
    <row r="2" spans="2:19" s="100" customFormat="1" ht="24.95" customHeight="1" thickBot="1" x14ac:dyDescent="0.2">
      <c r="B2" s="100" t="s">
        <v>107</v>
      </c>
      <c r="H2" s="101" t="s">
        <v>237</v>
      </c>
      <c r="I2" s="2" t="s">
        <v>433</v>
      </c>
      <c r="K2" s="101" t="s">
        <v>238</v>
      </c>
      <c r="L2" s="2" t="s">
        <v>239</v>
      </c>
      <c r="N2" s="99"/>
      <c r="O2" s="99"/>
      <c r="Q2" s="3"/>
      <c r="R2" s="3"/>
    </row>
    <row r="3" spans="2:19" s="100" customFormat="1" ht="18" customHeight="1" x14ac:dyDescent="0.15">
      <c r="B3" s="1073" t="s">
        <v>20</v>
      </c>
      <c r="C3" s="1074"/>
      <c r="D3" s="1074"/>
      <c r="E3" s="1075"/>
      <c r="F3" s="356" t="s">
        <v>21</v>
      </c>
      <c r="G3" s="409"/>
      <c r="H3" s="410" t="s">
        <v>22</v>
      </c>
      <c r="I3" s="411"/>
      <c r="J3" s="411"/>
      <c r="K3" s="1063" t="s">
        <v>434</v>
      </c>
      <c r="L3" s="1064"/>
      <c r="M3" s="1064"/>
      <c r="N3" s="1064"/>
      <c r="O3" s="1064"/>
      <c r="P3" s="1064"/>
      <c r="Q3" s="1064"/>
      <c r="R3" s="1064"/>
      <c r="S3" s="1065"/>
    </row>
    <row r="4" spans="2:19" s="100" customFormat="1" ht="18" customHeight="1" x14ac:dyDescent="0.15">
      <c r="B4" s="1071" t="s">
        <v>23</v>
      </c>
      <c r="C4" s="1072"/>
      <c r="D4" s="253" t="s">
        <v>202</v>
      </c>
      <c r="E4" s="206"/>
      <c r="F4" s="412">
        <f>+R11</f>
        <v>918000</v>
      </c>
      <c r="G4" s="253" t="s">
        <v>184</v>
      </c>
      <c r="H4" s="413"/>
      <c r="I4" s="413"/>
      <c r="J4" s="413"/>
      <c r="K4" s="414" t="s">
        <v>57</v>
      </c>
      <c r="L4" s="415" t="s">
        <v>435</v>
      </c>
      <c r="M4" s="416" t="s">
        <v>24</v>
      </c>
      <c r="N4" s="416" t="s">
        <v>23</v>
      </c>
      <c r="O4" s="416" t="s">
        <v>57</v>
      </c>
      <c r="P4" s="415" t="s">
        <v>435</v>
      </c>
      <c r="Q4" s="416" t="s">
        <v>24</v>
      </c>
      <c r="R4" s="1066" t="s">
        <v>23</v>
      </c>
      <c r="S4" s="1067"/>
    </row>
    <row r="5" spans="2:19" s="100" customFormat="1" ht="18" customHeight="1" x14ac:dyDescent="0.15">
      <c r="B5" s="1071"/>
      <c r="C5" s="1072"/>
      <c r="D5" s="253" t="s">
        <v>93</v>
      </c>
      <c r="E5" s="206"/>
      <c r="F5" s="412">
        <v>0</v>
      </c>
      <c r="G5" s="417"/>
      <c r="H5" s="418"/>
      <c r="I5" s="418"/>
      <c r="J5" s="418"/>
      <c r="K5" s="419" t="s">
        <v>389</v>
      </c>
      <c r="L5" s="412">
        <v>3400</v>
      </c>
      <c r="M5" s="412">
        <v>180</v>
      </c>
      <c r="N5" s="412">
        <f>L5*M5</f>
        <v>612000</v>
      </c>
      <c r="O5" s="412"/>
      <c r="P5" s="412"/>
      <c r="Q5" s="412"/>
      <c r="R5" s="1041"/>
      <c r="S5" s="1032"/>
    </row>
    <row r="6" spans="2:19" s="100" customFormat="1" ht="18" customHeight="1" x14ac:dyDescent="0.15">
      <c r="B6" s="1079" t="s">
        <v>207</v>
      </c>
      <c r="C6" s="1076" t="s">
        <v>193</v>
      </c>
      <c r="D6" s="412" t="s">
        <v>60</v>
      </c>
      <c r="E6" s="420"/>
      <c r="F6" s="412">
        <f>+P13</f>
        <v>11800</v>
      </c>
      <c r="G6" s="1027" t="s">
        <v>436</v>
      </c>
      <c r="H6" s="1028"/>
      <c r="I6" s="1028"/>
      <c r="J6" s="1029"/>
      <c r="K6" s="204" t="s">
        <v>388</v>
      </c>
      <c r="L6" s="628">
        <v>1700</v>
      </c>
      <c r="M6" s="203">
        <v>180</v>
      </c>
      <c r="N6" s="203">
        <f>L6*M6</f>
        <v>306000</v>
      </c>
      <c r="O6" s="412"/>
      <c r="P6" s="412"/>
      <c r="Q6" s="412"/>
      <c r="R6" s="1041"/>
      <c r="S6" s="1032"/>
    </row>
    <row r="7" spans="2:19" s="100" customFormat="1" ht="18" customHeight="1" x14ac:dyDescent="0.15">
      <c r="B7" s="1050"/>
      <c r="C7" s="1077"/>
      <c r="D7" s="412" t="s">
        <v>61</v>
      </c>
      <c r="E7" s="420"/>
      <c r="F7" s="412">
        <f>P22</f>
        <v>109114.15</v>
      </c>
      <c r="G7" s="1027" t="s">
        <v>615</v>
      </c>
      <c r="H7" s="1028"/>
      <c r="I7" s="1028"/>
      <c r="J7" s="1029"/>
      <c r="K7" s="629"/>
      <c r="L7" s="314"/>
      <c r="M7" s="314"/>
      <c r="N7" s="314"/>
      <c r="O7" s="420"/>
      <c r="P7" s="412"/>
      <c r="Q7" s="412"/>
      <c r="R7" s="1041"/>
      <c r="S7" s="1032"/>
    </row>
    <row r="8" spans="2:19" s="100" customFormat="1" ht="18" customHeight="1" x14ac:dyDescent="0.15">
      <c r="B8" s="1050"/>
      <c r="C8" s="1077"/>
      <c r="D8" s="412" t="s">
        <v>62</v>
      </c>
      <c r="E8" s="420"/>
      <c r="F8" s="412">
        <f>P28</f>
        <v>62757.266666666663</v>
      </c>
      <c r="G8" s="1027" t="s">
        <v>616</v>
      </c>
      <c r="H8" s="1028"/>
      <c r="I8" s="1028"/>
      <c r="J8" s="1029"/>
      <c r="K8" s="420"/>
      <c r="L8" s="412"/>
      <c r="M8" s="412"/>
      <c r="N8" s="412"/>
      <c r="O8" s="412"/>
      <c r="P8" s="412"/>
      <c r="Q8" s="412"/>
      <c r="R8" s="1041"/>
      <c r="S8" s="1032"/>
    </row>
    <row r="9" spans="2:19" s="100" customFormat="1" ht="18" customHeight="1" x14ac:dyDescent="0.15">
      <c r="B9" s="1050"/>
      <c r="C9" s="1077"/>
      <c r="D9" s="412" t="s">
        <v>94</v>
      </c>
      <c r="E9" s="420"/>
      <c r="F9" s="412">
        <f>P37</f>
        <v>41534.124380000001</v>
      </c>
      <c r="G9" s="1027" t="s">
        <v>617</v>
      </c>
      <c r="H9" s="1028"/>
      <c r="I9" s="1028"/>
      <c r="J9" s="1029"/>
      <c r="K9" s="420"/>
      <c r="L9" s="412"/>
      <c r="M9" s="412"/>
      <c r="N9" s="412"/>
      <c r="O9" s="412"/>
      <c r="P9" s="412"/>
      <c r="Q9" s="412"/>
      <c r="R9" s="1041"/>
      <c r="S9" s="1032"/>
    </row>
    <row r="10" spans="2:19" s="100" customFormat="1" ht="18" customHeight="1" x14ac:dyDescent="0.15">
      <c r="B10" s="1050"/>
      <c r="C10" s="1077"/>
      <c r="D10" s="412" t="s">
        <v>63</v>
      </c>
      <c r="E10" s="420"/>
      <c r="F10" s="412">
        <f>'８－１－１　水稲（食用倒伏しやすい品種）算出基礎'!V21</f>
        <v>5806.666666666667</v>
      </c>
      <c r="G10" s="1030" t="s">
        <v>618</v>
      </c>
      <c r="H10" s="1031"/>
      <c r="I10" s="1031"/>
      <c r="J10" s="1032"/>
      <c r="K10" s="420"/>
      <c r="L10" s="412"/>
      <c r="M10" s="412"/>
      <c r="N10" s="412"/>
      <c r="O10" s="412"/>
      <c r="P10" s="412"/>
      <c r="Q10" s="412"/>
      <c r="R10" s="1041"/>
      <c r="S10" s="1032"/>
    </row>
    <row r="11" spans="2:19" s="100" customFormat="1" ht="18" customHeight="1" thickBot="1" x14ac:dyDescent="0.2">
      <c r="B11" s="1050"/>
      <c r="C11" s="1077"/>
      <c r="D11" s="412" t="s">
        <v>6</v>
      </c>
      <c r="E11" s="420"/>
      <c r="F11" s="412">
        <f>'８－１－１　水稲（食用倒伏しやすい品種）算出基礎'!V34</f>
        <v>83.333333333333329</v>
      </c>
      <c r="G11" s="1030" t="s">
        <v>618</v>
      </c>
      <c r="H11" s="1031"/>
      <c r="I11" s="1031"/>
      <c r="J11" s="1032"/>
      <c r="K11" s="120"/>
      <c r="L11" s="106"/>
      <c r="M11" s="106"/>
      <c r="N11" s="422"/>
      <c r="O11" s="107" t="s">
        <v>25</v>
      </c>
      <c r="P11" s="108">
        <f>SUM(L5:L11,P5:Q10)</f>
        <v>5100</v>
      </c>
      <c r="Q11" s="109">
        <f>R11/P11</f>
        <v>180</v>
      </c>
      <c r="R11" s="1052">
        <f>SUM(N5:N11,R5:S10)</f>
        <v>918000</v>
      </c>
      <c r="S11" s="1053"/>
    </row>
    <row r="12" spans="2:19" s="100" customFormat="1" ht="18" customHeight="1" thickTop="1" x14ac:dyDescent="0.15">
      <c r="B12" s="1050"/>
      <c r="C12" s="1077"/>
      <c r="D12" s="412" t="s">
        <v>7</v>
      </c>
      <c r="E12" s="420"/>
      <c r="F12" s="412">
        <v>0</v>
      </c>
      <c r="G12" s="417"/>
      <c r="H12" s="418"/>
      <c r="I12" s="418"/>
      <c r="J12" s="421"/>
      <c r="K12" s="1048" t="s">
        <v>208</v>
      </c>
      <c r="L12" s="194" t="s">
        <v>155</v>
      </c>
      <c r="M12" s="351" t="s">
        <v>9</v>
      </c>
      <c r="N12" s="262" t="s">
        <v>437</v>
      </c>
      <c r="O12" s="350" t="s">
        <v>24</v>
      </c>
      <c r="P12" s="350" t="s">
        <v>27</v>
      </c>
      <c r="Q12" s="1054" t="s">
        <v>28</v>
      </c>
      <c r="R12" s="1055"/>
      <c r="S12" s="1056"/>
    </row>
    <row r="13" spans="2:19" s="100" customFormat="1" ht="18" customHeight="1" x14ac:dyDescent="0.15">
      <c r="B13" s="1050"/>
      <c r="C13" s="1077"/>
      <c r="D13" s="1068" t="s">
        <v>64</v>
      </c>
      <c r="E13" s="423" t="s">
        <v>182</v>
      </c>
      <c r="F13" s="624">
        <f>('６　固定資本装備と減価償却費'!L7+'６　固定資本装備と減価償却費'!L10+'６　固定資本装備と減価償却費'!L11)*0.01</f>
        <v>6131.25</v>
      </c>
      <c r="G13" s="718" t="s">
        <v>438</v>
      </c>
      <c r="H13" s="719">
        <v>0.01</v>
      </c>
      <c r="I13" s="1033" t="s">
        <v>188</v>
      </c>
      <c r="J13" s="1034"/>
      <c r="K13" s="1049"/>
      <c r="L13" s="353" t="s">
        <v>389</v>
      </c>
      <c r="M13" s="193" t="s">
        <v>439</v>
      </c>
      <c r="N13" s="355">
        <v>20</v>
      </c>
      <c r="O13" s="355">
        <v>590</v>
      </c>
      <c r="P13" s="355">
        <f>N13*O13</f>
        <v>11800</v>
      </c>
      <c r="Q13" s="1035" t="s">
        <v>236</v>
      </c>
      <c r="R13" s="1036"/>
      <c r="S13" s="1037"/>
    </row>
    <row r="14" spans="2:19" s="100" customFormat="1" ht="18" customHeight="1" x14ac:dyDescent="0.15">
      <c r="B14" s="1050"/>
      <c r="C14" s="1077"/>
      <c r="D14" s="1069"/>
      <c r="E14" s="423" t="s">
        <v>183</v>
      </c>
      <c r="F14" s="625">
        <f>('６　固定資本装備と減価償却費'!L18+'６　固定資本装備と減価償却費'!L19+'６　固定資本装備と減価償却費'!L20+'６　固定資本装備と減価償却費'!L21+'６　固定資本装備と減価償却費'!L22+'６　固定資本装備と減価償却費'!L23+'６　固定資本装備と減価償却費'!L24+'６　固定資本装備と減価償却費'!L25+'６　固定資本装備と減価償却費'!L26+'６　固定資本装備と減価償却費'!L27+'６　固定資本装備と減価償却費'!L28+'６　固定資本装備と減価償却費'!L29+'６　固定資本装備と減価償却費'!L30+'６　固定資本装備と減価償却費'!L31+'６　固定資本装備と減価償却費'!L32)*0.05</f>
        <v>95113.921348314616</v>
      </c>
      <c r="G14" s="718" t="s">
        <v>438</v>
      </c>
      <c r="H14" s="719">
        <v>0.05</v>
      </c>
      <c r="I14" s="1033" t="s">
        <v>188</v>
      </c>
      <c r="J14" s="1034"/>
      <c r="K14" s="1049"/>
      <c r="L14" s="353"/>
      <c r="M14" s="193"/>
      <c r="N14" s="355"/>
      <c r="O14" s="355"/>
      <c r="P14" s="355"/>
      <c r="Q14" s="1035"/>
      <c r="R14" s="1036"/>
      <c r="S14" s="1037"/>
    </row>
    <row r="15" spans="2:19" s="100" customFormat="1" ht="18" customHeight="1" thickBot="1" x14ac:dyDescent="0.2">
      <c r="B15" s="1050"/>
      <c r="C15" s="1077"/>
      <c r="D15" s="1068" t="s">
        <v>95</v>
      </c>
      <c r="E15" s="423" t="s">
        <v>182</v>
      </c>
      <c r="F15" s="625">
        <f>'６　固定資本装備と減価償却費'!P7+'６　固定資本装備と減価償却費'!P10+'６　固定資本装備と減価償却費'!P11</f>
        <v>28048.5</v>
      </c>
      <c r="G15" s="1027" t="s">
        <v>188</v>
      </c>
      <c r="H15" s="1028"/>
      <c r="I15" s="1028"/>
      <c r="J15" s="1029"/>
      <c r="K15" s="1049"/>
      <c r="L15" s="112" t="s">
        <v>29</v>
      </c>
      <c r="M15" s="111"/>
      <c r="N15" s="112"/>
      <c r="O15" s="112"/>
      <c r="P15" s="112">
        <f>SUM(P13:P14)</f>
        <v>11800</v>
      </c>
      <c r="Q15" s="1045"/>
      <c r="R15" s="1046"/>
      <c r="S15" s="1047"/>
    </row>
    <row r="16" spans="2:19" s="100" customFormat="1" ht="18" customHeight="1" thickTop="1" x14ac:dyDescent="0.15">
      <c r="B16" s="1050"/>
      <c r="C16" s="1077"/>
      <c r="D16" s="1070"/>
      <c r="E16" s="423" t="s">
        <v>183</v>
      </c>
      <c r="F16" s="626">
        <f>'６　固定資本装備と減価償却費'!P18+'６　固定資本装備と減価償却費'!P19+'６　固定資本装備と減価償却費'!P20+'６　固定資本装備と減価償却費'!P21+'６　固定資本装備と減価償却費'!P22+'６　固定資本装備と減価償却費'!P23+'６　固定資本装備と減価償却費'!P24+'６　固定資本装備と減価償却費'!P25+'６　固定資本装備と減価償却費'!P26+'６　固定資本装備と減価償却費'!P27+'６　固定資本装備と減価償却費'!P28+'６　固定資本装備と減価償却費'!P29+'６　固定資本装備と減価償却費'!P30+'６　固定資本装備と減価償却費'!P31+'６　固定資本装備と減価償却費'!P32</f>
        <v>295103.98073836282</v>
      </c>
      <c r="G16" s="1027" t="s">
        <v>188</v>
      </c>
      <c r="H16" s="1028"/>
      <c r="I16" s="1028"/>
      <c r="J16" s="1029"/>
      <c r="K16" s="1049"/>
      <c r="L16" s="188" t="s">
        <v>440</v>
      </c>
      <c r="M16" s="189"/>
      <c r="N16" s="261" t="s">
        <v>437</v>
      </c>
      <c r="O16" s="352" t="s">
        <v>24</v>
      </c>
      <c r="P16" s="191" t="s">
        <v>27</v>
      </c>
      <c r="Q16" s="1042" t="s">
        <v>28</v>
      </c>
      <c r="R16" s="1043"/>
      <c r="S16" s="1044"/>
    </row>
    <row r="17" spans="1:19" s="100" customFormat="1" ht="18" customHeight="1" x14ac:dyDescent="0.15">
      <c r="B17" s="1050"/>
      <c r="C17" s="1077"/>
      <c r="D17" s="1069"/>
      <c r="E17" s="412" t="s">
        <v>65</v>
      </c>
      <c r="F17" s="412">
        <v>0</v>
      </c>
      <c r="G17" s="1027" t="s">
        <v>188</v>
      </c>
      <c r="H17" s="1028"/>
      <c r="I17" s="1028"/>
      <c r="J17" s="1029"/>
      <c r="K17" s="1049"/>
      <c r="L17" s="253" t="s">
        <v>160</v>
      </c>
      <c r="M17" s="193"/>
      <c r="N17" s="417" t="s">
        <v>442</v>
      </c>
      <c r="O17" s="426"/>
      <c r="P17" s="427">
        <f>'８－１－１　水稲（食用倒伏しやすい品種）算出基礎'!G11</f>
        <v>38400</v>
      </c>
      <c r="Q17" s="1038"/>
      <c r="R17" s="1039"/>
      <c r="S17" s="1040"/>
    </row>
    <row r="18" spans="1:19" s="100" customFormat="1" ht="18" customHeight="1" x14ac:dyDescent="0.15">
      <c r="A18" s="99"/>
      <c r="B18" s="1050"/>
      <c r="C18" s="1077"/>
      <c r="D18" s="1092" t="s">
        <v>247</v>
      </c>
      <c r="E18" s="349" t="s">
        <v>130</v>
      </c>
      <c r="F18" s="412">
        <v>0</v>
      </c>
      <c r="G18" s="417"/>
      <c r="H18" s="424"/>
      <c r="I18" s="424"/>
      <c r="J18" s="425"/>
      <c r="K18" s="1049"/>
      <c r="L18" s="630" t="s">
        <v>161</v>
      </c>
      <c r="M18" s="110"/>
      <c r="N18" s="630" t="s">
        <v>442</v>
      </c>
      <c r="O18" s="631"/>
      <c r="P18" s="632">
        <f>'８－１－１　水稲（食用倒伏しやすい品種）算出基礎'!G16</f>
        <v>56350</v>
      </c>
      <c r="Q18" s="1038"/>
      <c r="R18" s="1039"/>
      <c r="S18" s="1040"/>
    </row>
    <row r="19" spans="1:19" s="100" customFormat="1" ht="18" customHeight="1" x14ac:dyDescent="0.15">
      <c r="A19" s="99"/>
      <c r="B19" s="1050"/>
      <c r="C19" s="1077"/>
      <c r="D19" s="1092"/>
      <c r="E19" s="349" t="s">
        <v>126</v>
      </c>
      <c r="F19" s="412">
        <f>J19*'５－１　水稲作業時間'!AO34</f>
        <v>37290.000000000007</v>
      </c>
      <c r="G19" s="417"/>
      <c r="H19" s="424"/>
      <c r="I19" s="428" t="s">
        <v>443</v>
      </c>
      <c r="J19" s="429">
        <v>1100</v>
      </c>
      <c r="K19" s="1050"/>
      <c r="L19" s="312"/>
      <c r="M19" s="634"/>
      <c r="N19" s="314"/>
      <c r="O19" s="314"/>
      <c r="P19" s="314"/>
      <c r="Q19" s="1039"/>
      <c r="R19" s="1039"/>
      <c r="S19" s="1040"/>
    </row>
    <row r="20" spans="1:19" s="100" customFormat="1" ht="18" customHeight="1" x14ac:dyDescent="0.15">
      <c r="A20" s="99"/>
      <c r="B20" s="1050"/>
      <c r="C20" s="1077"/>
      <c r="D20" s="1092"/>
      <c r="E20" s="349" t="s">
        <v>127</v>
      </c>
      <c r="F20" s="412">
        <f>J20*'５－１　水稲作業時間'!AP34</f>
        <v>55800</v>
      </c>
      <c r="G20" s="417"/>
      <c r="H20" s="424"/>
      <c r="I20" s="428" t="s">
        <v>444</v>
      </c>
      <c r="J20" s="430">
        <v>900</v>
      </c>
      <c r="K20" s="1049"/>
      <c r="L20" s="417"/>
      <c r="M20" s="418"/>
      <c r="N20" s="417"/>
      <c r="O20" s="426"/>
      <c r="P20" s="427"/>
      <c r="Q20" s="1038"/>
      <c r="R20" s="1039"/>
      <c r="S20" s="1040"/>
    </row>
    <row r="21" spans="1:19" s="100" customFormat="1" ht="18" customHeight="1" x14ac:dyDescent="0.15">
      <c r="A21" s="99"/>
      <c r="B21" s="1050"/>
      <c r="C21" s="1077"/>
      <c r="D21" s="1092"/>
      <c r="E21" s="349" t="s">
        <v>128</v>
      </c>
      <c r="F21" s="412">
        <f>(F19+F20)*0.012</f>
        <v>1117.08</v>
      </c>
      <c r="G21" s="417"/>
      <c r="H21" s="424"/>
      <c r="I21" s="424"/>
      <c r="J21" s="425"/>
      <c r="K21" s="1049"/>
      <c r="L21" s="417" t="s">
        <v>164</v>
      </c>
      <c r="M21" s="418"/>
      <c r="N21" s="417" t="s">
        <v>441</v>
      </c>
      <c r="O21" s="427"/>
      <c r="P21" s="427">
        <f>'８－１－１　水稲（食用倒伏しやすい品種）算出基礎'!G24</f>
        <v>14364.15</v>
      </c>
      <c r="Q21" s="1038"/>
      <c r="R21" s="1039"/>
      <c r="S21" s="1040"/>
    </row>
    <row r="22" spans="1:19" s="100" customFormat="1" ht="18" customHeight="1" thickBot="1" x14ac:dyDescent="0.2">
      <c r="A22" s="99"/>
      <c r="B22" s="1050"/>
      <c r="C22" s="1077"/>
      <c r="D22" s="1092" t="s">
        <v>66</v>
      </c>
      <c r="E22" s="349" t="s">
        <v>67</v>
      </c>
      <c r="F22" s="412">
        <f t="shared" ref="F22:F23" si="0">I22*10</f>
        <v>23760</v>
      </c>
      <c r="G22" s="417"/>
      <c r="H22" s="424"/>
      <c r="I22" s="418">
        <v>2376</v>
      </c>
      <c r="J22" s="425" t="s">
        <v>445</v>
      </c>
      <c r="K22" s="1049"/>
      <c r="L22" s="112" t="s">
        <v>29</v>
      </c>
      <c r="M22" s="111"/>
      <c r="N22" s="112"/>
      <c r="O22" s="112"/>
      <c r="P22" s="112">
        <f>SUM(P17:P21)</f>
        <v>109114.15</v>
      </c>
      <c r="Q22" s="1045"/>
      <c r="R22" s="1046"/>
      <c r="S22" s="1047"/>
    </row>
    <row r="23" spans="1:19" s="100" customFormat="1" ht="18" customHeight="1" thickTop="1" x14ac:dyDescent="0.15">
      <c r="A23" s="99"/>
      <c r="B23" s="1050"/>
      <c r="C23" s="1077"/>
      <c r="D23" s="1092"/>
      <c r="E23" s="349" t="s">
        <v>96</v>
      </c>
      <c r="F23" s="412">
        <f t="shared" si="0"/>
        <v>50000</v>
      </c>
      <c r="G23" s="417"/>
      <c r="H23" s="424"/>
      <c r="I23" s="418">
        <v>5000</v>
      </c>
      <c r="J23" s="425" t="s">
        <v>445</v>
      </c>
      <c r="K23" s="1049"/>
      <c r="L23" s="417" t="s">
        <v>446</v>
      </c>
      <c r="M23" s="418"/>
      <c r="N23" s="431" t="s">
        <v>26</v>
      </c>
      <c r="O23" s="431" t="s">
        <v>24</v>
      </c>
      <c r="P23" s="431" t="s">
        <v>27</v>
      </c>
      <c r="Q23" s="1042" t="s">
        <v>28</v>
      </c>
      <c r="R23" s="1043"/>
      <c r="S23" s="1044"/>
    </row>
    <row r="24" spans="1:19" s="100" customFormat="1" ht="18" customHeight="1" x14ac:dyDescent="0.15">
      <c r="A24" s="99"/>
      <c r="B24" s="1050"/>
      <c r="C24" s="1077"/>
      <c r="D24" s="412" t="s">
        <v>68</v>
      </c>
      <c r="E24" s="420"/>
      <c r="F24" s="412">
        <f>I24*10</f>
        <v>30000</v>
      </c>
      <c r="G24" s="417"/>
      <c r="H24" s="424"/>
      <c r="I24" s="432">
        <v>3000</v>
      </c>
      <c r="J24" s="425" t="s">
        <v>445</v>
      </c>
      <c r="K24" s="1049"/>
      <c r="L24" s="427" t="s">
        <v>30</v>
      </c>
      <c r="M24" s="418"/>
      <c r="N24" s="417" t="s">
        <v>447</v>
      </c>
      <c r="O24" s="427"/>
      <c r="P24" s="427">
        <f>'８－１－１　水稲（食用倒伏しやすい品種）算出基礎'!G38</f>
        <v>5512.1</v>
      </c>
      <c r="Q24" s="1038"/>
      <c r="R24" s="1039"/>
      <c r="S24" s="1040"/>
    </row>
    <row r="25" spans="1:19" s="100" customFormat="1" ht="18" customHeight="1" x14ac:dyDescent="0.15">
      <c r="A25" s="99"/>
      <c r="B25" s="1050"/>
      <c r="C25" s="1077"/>
      <c r="D25" s="412" t="s">
        <v>159</v>
      </c>
      <c r="E25" s="420"/>
      <c r="F25" s="412">
        <f>SUM(F6:F24)/99</f>
        <v>8620.8108397307496</v>
      </c>
      <c r="G25" s="433" t="s">
        <v>210</v>
      </c>
      <c r="H25" s="434">
        <v>0.01</v>
      </c>
      <c r="I25" s="435"/>
      <c r="J25" s="436"/>
      <c r="K25" s="1049"/>
      <c r="L25" s="427" t="s">
        <v>448</v>
      </c>
      <c r="M25" s="418"/>
      <c r="N25" s="417" t="s">
        <v>449</v>
      </c>
      <c r="O25" s="427"/>
      <c r="P25" s="427">
        <f>'８－１－１　水稲（食用倒伏しやすい品種）算出基礎'!G49</f>
        <v>4975</v>
      </c>
      <c r="Q25" s="1038"/>
      <c r="R25" s="1039"/>
      <c r="S25" s="1040"/>
    </row>
    <row r="26" spans="1:19" s="100" customFormat="1" ht="18" customHeight="1" x14ac:dyDescent="0.15">
      <c r="A26" s="99"/>
      <c r="B26" s="1050"/>
      <c r="C26" s="1078"/>
      <c r="D26" s="1100" t="s">
        <v>450</v>
      </c>
      <c r="E26" s="1101"/>
      <c r="F26" s="437">
        <f>SUM(F6:F25)</f>
        <v>862081.08397307491</v>
      </c>
      <c r="G26" s="438"/>
      <c r="H26" s="435"/>
      <c r="I26" s="435"/>
      <c r="J26" s="439"/>
      <c r="K26" s="1049"/>
      <c r="L26" s="427" t="s">
        <v>32</v>
      </c>
      <c r="M26" s="418"/>
      <c r="N26" s="417" t="s">
        <v>441</v>
      </c>
      <c r="O26" s="427"/>
      <c r="P26" s="427">
        <f>'８－１－１　水稲（食用倒伏しやすい品種）算出基礎'!G53</f>
        <v>24330</v>
      </c>
      <c r="Q26" s="1038"/>
      <c r="R26" s="1039"/>
      <c r="S26" s="1040"/>
    </row>
    <row r="27" spans="1:19" s="100" customFormat="1" ht="18" customHeight="1" x14ac:dyDescent="0.15">
      <c r="A27" s="99"/>
      <c r="B27" s="1050"/>
      <c r="C27" s="1093" t="s">
        <v>187</v>
      </c>
      <c r="D27" s="1096" t="s">
        <v>69</v>
      </c>
      <c r="E27" s="17" t="s">
        <v>3</v>
      </c>
      <c r="F27" s="422">
        <f>P11/30*J27</f>
        <v>13600</v>
      </c>
      <c r="G27" s="253"/>
      <c r="H27" s="418"/>
      <c r="I27" s="110" t="s">
        <v>451</v>
      </c>
      <c r="J27" s="440">
        <v>80</v>
      </c>
      <c r="K27" s="1049"/>
      <c r="L27" s="427" t="s">
        <v>416</v>
      </c>
      <c r="M27" s="418"/>
      <c r="N27" s="417" t="s">
        <v>449</v>
      </c>
      <c r="O27" s="427"/>
      <c r="P27" s="427">
        <f>'８－１－１　水稲（食用倒伏しやすい品種）算出基礎'!G57</f>
        <v>27940.166666666664</v>
      </c>
      <c r="Q27" s="1038"/>
      <c r="R27" s="1039"/>
      <c r="S27" s="1040"/>
    </row>
    <row r="28" spans="1:19" s="100" customFormat="1" ht="18" customHeight="1" thickBot="1" x14ac:dyDescent="0.2">
      <c r="A28" s="99"/>
      <c r="B28" s="1050"/>
      <c r="C28" s="1094"/>
      <c r="D28" s="919"/>
      <c r="E28" s="17" t="s">
        <v>4</v>
      </c>
      <c r="F28" s="441">
        <v>0</v>
      </c>
      <c r="G28" s="253"/>
      <c r="H28" s="442"/>
      <c r="I28" s="442"/>
      <c r="J28" s="443"/>
      <c r="K28" s="1049"/>
      <c r="L28" s="112" t="s">
        <v>29</v>
      </c>
      <c r="M28" s="111"/>
      <c r="N28" s="112"/>
      <c r="O28" s="112"/>
      <c r="P28" s="112">
        <f>SUM(P24:P27)</f>
        <v>62757.266666666663</v>
      </c>
      <c r="Q28" s="1045"/>
      <c r="R28" s="1046"/>
      <c r="S28" s="1047"/>
    </row>
    <row r="29" spans="1:19" s="100" customFormat="1" ht="18" customHeight="1" thickTop="1" x14ac:dyDescent="0.15">
      <c r="A29" s="99"/>
      <c r="B29" s="1050"/>
      <c r="C29" s="1094"/>
      <c r="D29" s="1097"/>
      <c r="E29" s="17" t="s">
        <v>8</v>
      </c>
      <c r="F29" s="422">
        <f>P11/30*J29</f>
        <v>21250</v>
      </c>
      <c r="G29" s="253"/>
      <c r="H29" s="413"/>
      <c r="I29" s="442" t="s">
        <v>452</v>
      </c>
      <c r="J29" s="444">
        <v>125</v>
      </c>
      <c r="K29" s="1049"/>
      <c r="L29" s="417" t="s">
        <v>453</v>
      </c>
      <c r="M29" s="418"/>
      <c r="N29" s="431" t="s">
        <v>26</v>
      </c>
      <c r="O29" s="431" t="s">
        <v>24</v>
      </c>
      <c r="P29" s="431" t="s">
        <v>27</v>
      </c>
      <c r="Q29" s="1042" t="s">
        <v>28</v>
      </c>
      <c r="R29" s="1043"/>
      <c r="S29" s="1044"/>
    </row>
    <row r="30" spans="1:19" s="100" customFormat="1" ht="18" customHeight="1" x14ac:dyDescent="0.15">
      <c r="A30" s="99"/>
      <c r="B30" s="1050"/>
      <c r="C30" s="1094"/>
      <c r="D30" s="17" t="s">
        <v>70</v>
      </c>
      <c r="E30" s="18"/>
      <c r="F30" s="422">
        <v>0</v>
      </c>
      <c r="G30" s="253" t="s">
        <v>189</v>
      </c>
      <c r="H30" s="413"/>
      <c r="I30" s="442"/>
      <c r="J30" s="445"/>
      <c r="K30" s="1049"/>
      <c r="L30" s="427" t="s">
        <v>454</v>
      </c>
      <c r="M30" s="446"/>
      <c r="N30" s="417" t="s">
        <v>455</v>
      </c>
      <c r="O30" s="426"/>
      <c r="P30" s="427">
        <f>'８－１－１　水稲（食用倒伏しやすい品種）算出基礎'!N12</f>
        <v>14054.271000000001</v>
      </c>
      <c r="Q30" s="1060"/>
      <c r="R30" s="1061"/>
      <c r="S30" s="1062"/>
    </row>
    <row r="31" spans="1:19" s="100" customFormat="1" ht="18" customHeight="1" x14ac:dyDescent="0.15">
      <c r="A31" s="99"/>
      <c r="B31" s="1050"/>
      <c r="C31" s="1094"/>
      <c r="D31" s="932" t="s">
        <v>248</v>
      </c>
      <c r="E31" s="348" t="s">
        <v>130</v>
      </c>
      <c r="F31" s="441">
        <v>0</v>
      </c>
      <c r="G31" s="253" t="s">
        <v>189</v>
      </c>
      <c r="H31" s="447"/>
      <c r="I31" s="447"/>
      <c r="J31" s="448"/>
      <c r="K31" s="1049"/>
      <c r="L31" s="427" t="s">
        <v>404</v>
      </c>
      <c r="M31" s="446"/>
      <c r="N31" s="417" t="s">
        <v>293</v>
      </c>
      <c r="O31" s="426"/>
      <c r="P31" s="427">
        <f>'８－１－１　水稲（食用倒伏しやすい品種）算出基礎'!N16</f>
        <v>1453.1615999999999</v>
      </c>
      <c r="Q31" s="1060"/>
      <c r="R31" s="1061"/>
      <c r="S31" s="1062"/>
    </row>
    <row r="32" spans="1:19" s="100" customFormat="1" ht="18" customHeight="1" x14ac:dyDescent="0.15">
      <c r="A32" s="99"/>
      <c r="B32" s="1050"/>
      <c r="C32" s="1094"/>
      <c r="D32" s="932"/>
      <c r="E32" s="348" t="s">
        <v>456</v>
      </c>
      <c r="F32" s="441">
        <v>0</v>
      </c>
      <c r="G32" s="253" t="s">
        <v>189</v>
      </c>
      <c r="H32" s="449"/>
      <c r="I32" s="449"/>
      <c r="J32" s="450"/>
      <c r="K32" s="1049"/>
      <c r="L32" s="427" t="s">
        <v>457</v>
      </c>
      <c r="M32" s="418"/>
      <c r="N32" s="426"/>
      <c r="O32" s="426"/>
      <c r="P32" s="427">
        <f>SUM(P30:P31)*R32</f>
        <v>4652.2297799999997</v>
      </c>
      <c r="Q32" s="451" t="s">
        <v>458</v>
      </c>
      <c r="R32" s="452">
        <v>0.3</v>
      </c>
      <c r="S32" s="453"/>
    </row>
    <row r="33" spans="1:23" ht="18" customHeight="1" x14ac:dyDescent="0.15">
      <c r="B33" s="1050"/>
      <c r="C33" s="1094"/>
      <c r="D33" s="17" t="s">
        <v>71</v>
      </c>
      <c r="E33" s="27"/>
      <c r="F33" s="441">
        <v>0</v>
      </c>
      <c r="G33" s="253" t="s">
        <v>189</v>
      </c>
      <c r="H33" s="454"/>
      <c r="I33" s="455"/>
      <c r="J33" s="445"/>
      <c r="K33" s="1049"/>
      <c r="L33" s="427" t="s">
        <v>459</v>
      </c>
      <c r="M33" s="446"/>
      <c r="N33" s="417"/>
      <c r="O33" s="426"/>
      <c r="P33" s="427">
        <f>'８－１－１　水稲（食用倒伏しやすい品種）算出基礎'!N20</f>
        <v>0</v>
      </c>
      <c r="Q33" s="1038"/>
      <c r="R33" s="1039"/>
      <c r="S33" s="1040"/>
    </row>
    <row r="34" spans="1:23" ht="18" customHeight="1" x14ac:dyDescent="0.15">
      <c r="B34" s="1050"/>
      <c r="C34" s="1094"/>
      <c r="D34" s="17" t="s">
        <v>97</v>
      </c>
      <c r="E34" s="27"/>
      <c r="F34" s="441">
        <v>0</v>
      </c>
      <c r="G34" s="253" t="s">
        <v>189</v>
      </c>
      <c r="H34" s="456"/>
      <c r="I34" s="457"/>
      <c r="J34" s="458"/>
      <c r="K34" s="1049"/>
      <c r="L34" s="427" t="s">
        <v>460</v>
      </c>
      <c r="M34" s="446"/>
      <c r="N34" s="417" t="s">
        <v>293</v>
      </c>
      <c r="O34" s="426"/>
      <c r="P34" s="427">
        <f>'８－１－１　水稲（食用倒伏しやすい品種）算出基礎'!N24</f>
        <v>17563.241999999998</v>
      </c>
      <c r="Q34" s="1038"/>
      <c r="R34" s="1039"/>
      <c r="S34" s="1040"/>
    </row>
    <row r="35" spans="1:23" ht="18" customHeight="1" x14ac:dyDescent="0.15">
      <c r="B35" s="1050"/>
      <c r="C35" s="1094"/>
      <c r="D35" s="17" t="s">
        <v>133</v>
      </c>
      <c r="E35" s="18"/>
      <c r="F35" s="441">
        <f>'８－１－１　水稲（食用倒伏しやすい品種）算出基礎'!V57</f>
        <v>8779.6296296296296</v>
      </c>
      <c r="G35" s="253" t="s">
        <v>618</v>
      </c>
      <c r="H35" s="252"/>
      <c r="I35" s="252"/>
      <c r="J35" s="354"/>
      <c r="K35" s="1049"/>
      <c r="L35" s="427" t="s">
        <v>245</v>
      </c>
      <c r="M35" s="446"/>
      <c r="N35" s="417"/>
      <c r="O35" s="426"/>
      <c r="P35" s="427">
        <f>'８－１－１　水稲（食用倒伏しやすい品種）算出基礎'!N28</f>
        <v>0</v>
      </c>
      <c r="Q35" s="1038"/>
      <c r="R35" s="1039"/>
      <c r="S35" s="1040"/>
    </row>
    <row r="36" spans="1:23" ht="18" customHeight="1" x14ac:dyDescent="0.15">
      <c r="B36" s="1050"/>
      <c r="C36" s="1094"/>
      <c r="D36" s="36" t="s">
        <v>98</v>
      </c>
      <c r="E36" s="37"/>
      <c r="F36" s="459">
        <v>0</v>
      </c>
      <c r="G36" s="417"/>
      <c r="H36" s="456"/>
      <c r="I36" s="457"/>
      <c r="J36" s="445"/>
      <c r="K36" s="1049"/>
      <c r="L36" s="427" t="s">
        <v>461</v>
      </c>
      <c r="M36" s="418"/>
      <c r="N36" s="417" t="s">
        <v>462</v>
      </c>
      <c r="O36" s="426"/>
      <c r="P36" s="427">
        <f>'８－１－１　水稲（食用倒伏しやすい品種）算出基礎'!N32</f>
        <v>3811.2200000000003</v>
      </c>
      <c r="Q36" s="1038"/>
      <c r="R36" s="1039"/>
      <c r="S36" s="1040"/>
    </row>
    <row r="37" spans="1:23" ht="18" customHeight="1" thickBot="1" x14ac:dyDescent="0.2">
      <c r="B37" s="1050"/>
      <c r="C37" s="1094"/>
      <c r="D37" s="17" t="s">
        <v>72</v>
      </c>
      <c r="E37" s="18"/>
      <c r="F37" s="441">
        <f>'８－１－１　水稲（食用倒伏しやすい品種）算出基礎'!N57</f>
        <v>4646.0648148148148</v>
      </c>
      <c r="G37" s="253" t="s">
        <v>618</v>
      </c>
      <c r="H37" s="252"/>
      <c r="I37" s="252"/>
      <c r="J37" s="354"/>
      <c r="K37" s="1051"/>
      <c r="L37" s="123" t="s">
        <v>29</v>
      </c>
      <c r="M37" s="122"/>
      <c r="N37" s="123"/>
      <c r="O37" s="123"/>
      <c r="P37" s="123">
        <f>SUM(P30:P36)</f>
        <v>41534.124380000001</v>
      </c>
      <c r="Q37" s="1057"/>
      <c r="R37" s="1058"/>
      <c r="S37" s="1059"/>
    </row>
    <row r="38" spans="1:23" s="117" customFormat="1" ht="18" customHeight="1" x14ac:dyDescent="0.15">
      <c r="A38" s="99"/>
      <c r="B38" s="1050"/>
      <c r="C38" s="1094"/>
      <c r="D38" s="17" t="s">
        <v>0</v>
      </c>
      <c r="E38" s="27"/>
      <c r="F38" s="441">
        <v>0</v>
      </c>
      <c r="G38" s="460" t="s">
        <v>189</v>
      </c>
      <c r="H38" s="461"/>
      <c r="I38" s="462"/>
      <c r="J38" s="463"/>
    </row>
    <row r="39" spans="1:23" s="117" customFormat="1" ht="18" customHeight="1" thickBot="1" x14ac:dyDescent="0.2">
      <c r="A39" s="99"/>
      <c r="B39" s="1080"/>
      <c r="C39" s="1095"/>
      <c r="D39" s="1098" t="s">
        <v>200</v>
      </c>
      <c r="E39" s="1099"/>
      <c r="F39" s="169">
        <f>SUM(F27:F38)</f>
        <v>48275.694444444445</v>
      </c>
      <c r="G39" s="170"/>
      <c r="H39" s="171"/>
      <c r="I39" s="172"/>
      <c r="J39" s="173"/>
      <c r="T39" s="118"/>
    </row>
    <row r="40" spans="1:23" s="117" customFormat="1" ht="18" customHeight="1" x14ac:dyDescent="0.15">
      <c r="A40" s="99"/>
      <c r="B40" s="1081" t="s">
        <v>204</v>
      </c>
      <c r="C40" s="1084" t="s">
        <v>74</v>
      </c>
      <c r="D40" s="164" t="s">
        <v>132</v>
      </c>
      <c r="E40" s="165"/>
      <c r="F40" s="464">
        <f>J40*10</f>
        <v>75000</v>
      </c>
      <c r="G40" s="417"/>
      <c r="H40" s="465"/>
      <c r="I40" s="466" t="s">
        <v>463</v>
      </c>
      <c r="J40" s="467">
        <v>7500</v>
      </c>
      <c r="T40" s="100"/>
      <c r="U40" s="100"/>
      <c r="V40" s="100"/>
      <c r="W40" s="100"/>
    </row>
    <row r="41" spans="1:23" s="117" customFormat="1" ht="18" customHeight="1" x14ac:dyDescent="0.15">
      <c r="A41" s="99"/>
      <c r="B41" s="1082"/>
      <c r="C41" s="1085"/>
      <c r="D41" s="17" t="s">
        <v>131</v>
      </c>
      <c r="E41" s="18"/>
      <c r="F41" s="158">
        <v>0</v>
      </c>
      <c r="G41" s="417"/>
      <c r="H41" s="124"/>
      <c r="I41" s="124"/>
      <c r="J41" s="178"/>
      <c r="T41" s="119"/>
      <c r="U41" s="120"/>
      <c r="V41" s="121"/>
      <c r="W41" s="119"/>
    </row>
    <row r="42" spans="1:23" s="117" customFormat="1" ht="18" customHeight="1" x14ac:dyDescent="0.15">
      <c r="A42" s="99"/>
      <c r="B42" s="1082"/>
      <c r="C42" s="1086"/>
      <c r="D42" s="36" t="s">
        <v>73</v>
      </c>
      <c r="E42" s="18"/>
      <c r="F42" s="159">
        <v>0</v>
      </c>
      <c r="G42" s="417"/>
      <c r="H42" s="124"/>
      <c r="I42" s="124"/>
      <c r="J42" s="178"/>
      <c r="T42" s="100"/>
      <c r="U42" s="100"/>
      <c r="V42" s="100"/>
      <c r="W42" s="100"/>
    </row>
    <row r="43" spans="1:23" s="117" customFormat="1" ht="18" customHeight="1" x14ac:dyDescent="0.15">
      <c r="B43" s="1082"/>
      <c r="C43" s="1087" t="s">
        <v>464</v>
      </c>
      <c r="D43" s="36" t="s">
        <v>249</v>
      </c>
      <c r="E43" s="37"/>
      <c r="F43" s="159">
        <v>0</v>
      </c>
      <c r="G43" s="417"/>
      <c r="H43" s="124"/>
      <c r="I43" s="124"/>
      <c r="J43" s="178"/>
      <c r="T43" s="101"/>
      <c r="U43" s="118"/>
      <c r="V43" s="100"/>
      <c r="W43" s="119"/>
    </row>
    <row r="44" spans="1:23" s="117" customFormat="1" ht="18" customHeight="1" x14ac:dyDescent="0.15">
      <c r="B44" s="1082"/>
      <c r="C44" s="1088"/>
      <c r="D44" s="38" t="s">
        <v>1</v>
      </c>
      <c r="E44" s="39"/>
      <c r="F44" s="159">
        <v>0</v>
      </c>
      <c r="G44" s="417"/>
      <c r="H44" s="124"/>
      <c r="I44" s="124"/>
      <c r="J44" s="178"/>
      <c r="T44" s="101"/>
      <c r="U44" s="118"/>
      <c r="V44" s="100"/>
      <c r="W44" s="119"/>
    </row>
    <row r="45" spans="1:23" s="117" customFormat="1" ht="18" customHeight="1" thickBot="1" x14ac:dyDescent="0.2">
      <c r="B45" s="1083"/>
      <c r="C45" s="1089" t="s">
        <v>100</v>
      </c>
      <c r="D45" s="1090"/>
      <c r="E45" s="1091"/>
      <c r="F45" s="160">
        <f>SUM(F40:F42)-SUM(F43:F44)</f>
        <v>75000</v>
      </c>
      <c r="G45" s="125"/>
      <c r="H45" s="126"/>
      <c r="I45" s="126"/>
      <c r="J45" s="179"/>
      <c r="T45" s="100"/>
      <c r="U45" s="100"/>
      <c r="V45" s="120"/>
      <c r="W45" s="100"/>
    </row>
    <row r="49" spans="4:6" x14ac:dyDescent="0.15">
      <c r="D49" s="627" t="s">
        <v>465</v>
      </c>
      <c r="E49" s="627"/>
      <c r="F49" s="627">
        <f>F4-F26</f>
        <v>55918.916026925086</v>
      </c>
    </row>
  </sheetData>
  <mergeCells count="63">
    <mergeCell ref="B40:B45"/>
    <mergeCell ref="C40:C42"/>
    <mergeCell ref="C43:C44"/>
    <mergeCell ref="C45:E45"/>
    <mergeCell ref="D18:D21"/>
    <mergeCell ref="D22:D23"/>
    <mergeCell ref="C27:C39"/>
    <mergeCell ref="D27:D29"/>
    <mergeCell ref="D31:D32"/>
    <mergeCell ref="D39:E39"/>
    <mergeCell ref="D26:E26"/>
    <mergeCell ref="D13:D14"/>
    <mergeCell ref="D15:D17"/>
    <mergeCell ref="B4:C5"/>
    <mergeCell ref="B3:E3"/>
    <mergeCell ref="C6:C26"/>
    <mergeCell ref="B6:B39"/>
    <mergeCell ref="K3:S3"/>
    <mergeCell ref="R6:S6"/>
    <mergeCell ref="R7:S7"/>
    <mergeCell ref="R8:S8"/>
    <mergeCell ref="R9:S9"/>
    <mergeCell ref="R4:S4"/>
    <mergeCell ref="R5:S5"/>
    <mergeCell ref="Q31:S31"/>
    <mergeCell ref="Q35:S35"/>
    <mergeCell ref="Q24:S24"/>
    <mergeCell ref="Q25:S25"/>
    <mergeCell ref="Q26:S26"/>
    <mergeCell ref="K12:K37"/>
    <mergeCell ref="Q20:S20"/>
    <mergeCell ref="Q21:S21"/>
    <mergeCell ref="G11:J11"/>
    <mergeCell ref="Q33:S33"/>
    <mergeCell ref="Q34:S34"/>
    <mergeCell ref="Q22:S22"/>
    <mergeCell ref="Q23:S23"/>
    <mergeCell ref="R11:S11"/>
    <mergeCell ref="Q12:S12"/>
    <mergeCell ref="Q36:S36"/>
    <mergeCell ref="Q37:S37"/>
    <mergeCell ref="Q27:S27"/>
    <mergeCell ref="Q28:S28"/>
    <mergeCell ref="Q29:S29"/>
    <mergeCell ref="Q30:S30"/>
    <mergeCell ref="Q13:S13"/>
    <mergeCell ref="Q17:S17"/>
    <mergeCell ref="Q18:S18"/>
    <mergeCell ref="Q19:S19"/>
    <mergeCell ref="R10:S10"/>
    <mergeCell ref="Q16:S16"/>
    <mergeCell ref="Q14:S14"/>
    <mergeCell ref="Q15:S15"/>
    <mergeCell ref="G16:J16"/>
    <mergeCell ref="G17:J17"/>
    <mergeCell ref="G6:J6"/>
    <mergeCell ref="G7:J7"/>
    <mergeCell ref="G8:J8"/>
    <mergeCell ref="G9:J9"/>
    <mergeCell ref="G15:J15"/>
    <mergeCell ref="G10:J10"/>
    <mergeCell ref="I13:J13"/>
    <mergeCell ref="I14:J14"/>
  </mergeCells>
  <phoneticPr fontId="4"/>
  <pageMargins left="0.78740157480314965" right="0.78740157480314965" top="0.78740157480314965" bottom="0.78740157480314965" header="0.39370078740157483" footer="0.39370078740157483"/>
  <pageSetup paperSize="9" scale="65"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workbookViewId="0"/>
  </sheetViews>
  <sheetFormatPr defaultColWidth="10.875" defaultRowHeight="13.5" x14ac:dyDescent="0.15"/>
  <cols>
    <col min="1" max="1" width="1.625" style="99" customWidth="1"/>
    <col min="2" max="2" width="5.875" style="99" customWidth="1"/>
    <col min="3" max="3" width="10.625" style="99" customWidth="1"/>
    <col min="4" max="4" width="12.375" style="99" customWidth="1"/>
    <col min="5" max="5" width="14.625" style="99" customWidth="1"/>
    <col min="6" max="7" width="15.875" style="99" customWidth="1"/>
    <col min="8" max="8" width="10.875" style="99"/>
    <col min="9" max="9" width="11.375" style="99" bestFit="1" customWidth="1"/>
    <col min="10" max="10" width="13.375" style="99" customWidth="1"/>
    <col min="11" max="11" width="7.125" style="99" customWidth="1"/>
    <col min="12" max="12" width="15.375" style="99" customWidth="1"/>
    <col min="13" max="13" width="9.375" style="99" bestFit="1" customWidth="1"/>
    <col min="14" max="14" width="10.875" style="99"/>
    <col min="15" max="15" width="7.25" style="99" customWidth="1"/>
    <col min="16" max="16" width="9.625" style="99" customWidth="1"/>
    <col min="17" max="17" width="10.875" style="99" customWidth="1"/>
    <col min="18" max="18" width="7.5" style="99" customWidth="1"/>
    <col min="19" max="19" width="3.75" style="99" customWidth="1"/>
    <col min="20" max="16384" width="10.875" style="99"/>
  </cols>
  <sheetData>
    <row r="1" spans="2:19" s="100" customFormat="1" x14ac:dyDescent="0.15">
      <c r="B1" s="99"/>
      <c r="C1" s="99"/>
      <c r="D1" s="99"/>
      <c r="E1" s="99"/>
      <c r="F1" s="99"/>
      <c r="G1" s="99"/>
      <c r="H1" s="99"/>
      <c r="I1" s="99"/>
      <c r="J1" s="99"/>
      <c r="K1" s="99"/>
      <c r="L1" s="99"/>
      <c r="M1" s="99"/>
      <c r="N1" s="99"/>
      <c r="O1" s="99"/>
      <c r="P1" s="99"/>
      <c r="Q1" s="99"/>
      <c r="R1" s="99"/>
      <c r="S1" s="99"/>
    </row>
    <row r="2" spans="2:19" s="100" customFormat="1" ht="14.25" thickBot="1" x14ac:dyDescent="0.2">
      <c r="B2" s="100" t="s">
        <v>466</v>
      </c>
      <c r="H2" s="101" t="s">
        <v>237</v>
      </c>
      <c r="I2" s="2" t="s">
        <v>467</v>
      </c>
      <c r="K2" s="101" t="s">
        <v>238</v>
      </c>
      <c r="L2" s="2" t="s">
        <v>239</v>
      </c>
      <c r="N2" s="99"/>
      <c r="O2" s="99"/>
      <c r="Q2" s="3"/>
      <c r="R2" s="3"/>
    </row>
    <row r="3" spans="2:19" s="100" customFormat="1" x14ac:dyDescent="0.15">
      <c r="B3" s="1106" t="s">
        <v>20</v>
      </c>
      <c r="C3" s="1107"/>
      <c r="D3" s="1107"/>
      <c r="E3" s="1108"/>
      <c r="F3" s="638" t="s">
        <v>21</v>
      </c>
      <c r="G3" s="639"/>
      <c r="H3" s="640" t="s">
        <v>22</v>
      </c>
      <c r="I3" s="641"/>
      <c r="J3" s="642"/>
      <c r="K3" s="1109" t="s">
        <v>468</v>
      </c>
      <c r="L3" s="1064"/>
      <c r="M3" s="1064"/>
      <c r="N3" s="1064"/>
      <c r="O3" s="1064"/>
      <c r="P3" s="1064"/>
      <c r="Q3" s="1064"/>
      <c r="R3" s="1064"/>
      <c r="S3" s="1065"/>
    </row>
    <row r="4" spans="2:19" s="100" customFormat="1" x14ac:dyDescent="0.15">
      <c r="B4" s="1110" t="s">
        <v>23</v>
      </c>
      <c r="C4" s="1072"/>
      <c r="D4" s="253" t="s">
        <v>202</v>
      </c>
      <c r="E4" s="206"/>
      <c r="F4" s="412">
        <f>+R11</f>
        <v>858000</v>
      </c>
      <c r="G4" s="253" t="s">
        <v>184</v>
      </c>
      <c r="H4" s="610"/>
      <c r="I4" s="610"/>
      <c r="J4" s="643"/>
      <c r="K4" s="637" t="s">
        <v>57</v>
      </c>
      <c r="L4" s="415" t="s">
        <v>469</v>
      </c>
      <c r="M4" s="416" t="s">
        <v>24</v>
      </c>
      <c r="N4" s="416" t="s">
        <v>23</v>
      </c>
      <c r="O4" s="416" t="s">
        <v>57</v>
      </c>
      <c r="P4" s="415" t="s">
        <v>469</v>
      </c>
      <c r="Q4" s="416" t="s">
        <v>24</v>
      </c>
      <c r="R4" s="1066" t="s">
        <v>23</v>
      </c>
      <c r="S4" s="1067"/>
    </row>
    <row r="5" spans="2:19" s="100" customFormat="1" x14ac:dyDescent="0.15">
      <c r="B5" s="1110"/>
      <c r="C5" s="1072"/>
      <c r="D5" s="253" t="s">
        <v>93</v>
      </c>
      <c r="E5" s="206"/>
      <c r="F5" s="412">
        <v>0</v>
      </c>
      <c r="G5" s="417"/>
      <c r="H5" s="418"/>
      <c r="I5" s="418"/>
      <c r="J5" s="644"/>
      <c r="K5" s="657" t="s">
        <v>390</v>
      </c>
      <c r="L5" s="203">
        <f>6000</f>
        <v>6000</v>
      </c>
      <c r="M5" s="203">
        <v>143</v>
      </c>
      <c r="N5" s="203">
        <f>L5*M5</f>
        <v>858000</v>
      </c>
      <c r="O5" s="412"/>
      <c r="P5" s="412"/>
      <c r="Q5" s="412"/>
      <c r="R5" s="1041"/>
      <c r="S5" s="1032"/>
    </row>
    <row r="6" spans="2:19" s="100" customFormat="1" x14ac:dyDescent="0.15">
      <c r="B6" s="1118" t="s">
        <v>207</v>
      </c>
      <c r="C6" s="1076" t="s">
        <v>193</v>
      </c>
      <c r="D6" s="412" t="s">
        <v>60</v>
      </c>
      <c r="E6" s="420"/>
      <c r="F6" s="412">
        <f>P15</f>
        <v>11000</v>
      </c>
      <c r="G6" s="417" t="s">
        <v>185</v>
      </c>
      <c r="H6" s="418"/>
      <c r="I6" s="418"/>
      <c r="J6" s="644"/>
      <c r="L6" s="314"/>
      <c r="M6" s="314"/>
      <c r="N6" s="314"/>
      <c r="O6" s="420"/>
      <c r="P6" s="412"/>
      <c r="Q6" s="412"/>
      <c r="R6" s="1041"/>
      <c r="S6" s="1032"/>
    </row>
    <row r="7" spans="2:19" s="100" customFormat="1" x14ac:dyDescent="0.15">
      <c r="B7" s="1119"/>
      <c r="C7" s="1077"/>
      <c r="D7" s="412" t="s">
        <v>61</v>
      </c>
      <c r="E7" s="420"/>
      <c r="F7" s="412">
        <f>P22</f>
        <v>154789.15</v>
      </c>
      <c r="G7" s="1027" t="s">
        <v>619</v>
      </c>
      <c r="H7" s="1028"/>
      <c r="I7" s="1028"/>
      <c r="J7" s="1102"/>
      <c r="K7" s="612"/>
      <c r="L7" s="609"/>
      <c r="M7" s="412"/>
      <c r="N7" s="412"/>
      <c r="O7" s="412"/>
      <c r="P7" s="412"/>
      <c r="Q7" s="412"/>
      <c r="R7" s="1041"/>
      <c r="S7" s="1032"/>
    </row>
    <row r="8" spans="2:19" s="100" customFormat="1" x14ac:dyDescent="0.15">
      <c r="B8" s="1119"/>
      <c r="C8" s="1077"/>
      <c r="D8" s="412" t="s">
        <v>62</v>
      </c>
      <c r="E8" s="420"/>
      <c r="F8" s="412">
        <f>P28</f>
        <v>62757.266666666663</v>
      </c>
      <c r="G8" s="1027" t="s">
        <v>620</v>
      </c>
      <c r="H8" s="1028"/>
      <c r="I8" s="1028"/>
      <c r="J8" s="1102"/>
      <c r="K8" s="420"/>
      <c r="L8" s="412"/>
      <c r="M8" s="412"/>
      <c r="N8" s="412"/>
      <c r="O8" s="412"/>
      <c r="P8" s="412"/>
      <c r="Q8" s="412"/>
      <c r="R8" s="1041"/>
      <c r="S8" s="1032"/>
    </row>
    <row r="9" spans="2:19" s="100" customFormat="1" x14ac:dyDescent="0.15">
      <c r="B9" s="1119"/>
      <c r="C9" s="1077"/>
      <c r="D9" s="412" t="s">
        <v>94</v>
      </c>
      <c r="E9" s="420"/>
      <c r="F9" s="412">
        <f>P37</f>
        <v>41534.124380000001</v>
      </c>
      <c r="G9" s="1027" t="s">
        <v>621</v>
      </c>
      <c r="H9" s="1028"/>
      <c r="I9" s="1028"/>
      <c r="J9" s="1102"/>
      <c r="K9" s="420"/>
      <c r="L9" s="412"/>
      <c r="M9" s="412"/>
      <c r="N9" s="412"/>
      <c r="O9" s="412"/>
      <c r="P9" s="412"/>
      <c r="Q9" s="412"/>
      <c r="R9" s="1041"/>
      <c r="S9" s="1032"/>
    </row>
    <row r="10" spans="2:19" s="100" customFormat="1" x14ac:dyDescent="0.15">
      <c r="B10" s="1119"/>
      <c r="C10" s="1077"/>
      <c r="D10" s="412" t="s">
        <v>63</v>
      </c>
      <c r="E10" s="420"/>
      <c r="F10" s="412">
        <f>'８－１－２　水稲（食用倒伏しにくい）算出基礎'!V21</f>
        <v>5806.666666666667</v>
      </c>
      <c r="G10" s="1030" t="s">
        <v>622</v>
      </c>
      <c r="H10" s="1031"/>
      <c r="I10" s="1031"/>
      <c r="J10" s="1111"/>
      <c r="K10" s="420"/>
      <c r="L10" s="412"/>
      <c r="M10" s="412"/>
      <c r="N10" s="412"/>
      <c r="O10" s="412"/>
      <c r="P10" s="412"/>
      <c r="Q10" s="412"/>
      <c r="R10" s="1041"/>
      <c r="S10" s="1032"/>
    </row>
    <row r="11" spans="2:19" s="100" customFormat="1" ht="14.25" thickBot="1" x14ac:dyDescent="0.2">
      <c r="B11" s="1119"/>
      <c r="C11" s="1077"/>
      <c r="D11" s="412" t="s">
        <v>6</v>
      </c>
      <c r="E11" s="420"/>
      <c r="F11" s="412">
        <f>'８－１－２　水稲（食用倒伏しにくい）算出基礎'!V34</f>
        <v>92.592592592592595</v>
      </c>
      <c r="G11" s="1030" t="s">
        <v>622</v>
      </c>
      <c r="H11" s="1031"/>
      <c r="I11" s="1031"/>
      <c r="J11" s="1111"/>
      <c r="K11" s="120"/>
      <c r="L11" s="106"/>
      <c r="M11" s="106"/>
      <c r="N11" s="422"/>
      <c r="O11" s="107" t="s">
        <v>25</v>
      </c>
      <c r="P11" s="108">
        <f>SUM(L5:L11,P5:Q10)</f>
        <v>6000</v>
      </c>
      <c r="Q11" s="109">
        <f>R11/P11</f>
        <v>143</v>
      </c>
      <c r="R11" s="1052">
        <f>SUM(N5:N11,R5:S10)</f>
        <v>858000</v>
      </c>
      <c r="S11" s="1053"/>
    </row>
    <row r="12" spans="2:19" s="100" customFormat="1" ht="14.25" thickTop="1" x14ac:dyDescent="0.15">
      <c r="B12" s="1119"/>
      <c r="C12" s="1077"/>
      <c r="D12" s="412" t="s">
        <v>7</v>
      </c>
      <c r="E12" s="420"/>
      <c r="F12" s="412">
        <v>0</v>
      </c>
      <c r="G12" s="417"/>
      <c r="H12" s="418"/>
      <c r="I12" s="418"/>
      <c r="J12" s="644"/>
      <c r="K12" s="1112" t="s">
        <v>208</v>
      </c>
      <c r="L12" s="194" t="s">
        <v>155</v>
      </c>
      <c r="M12" s="351" t="s">
        <v>9</v>
      </c>
      <c r="N12" s="262" t="s">
        <v>470</v>
      </c>
      <c r="O12" s="350" t="s">
        <v>24</v>
      </c>
      <c r="P12" s="350" t="s">
        <v>27</v>
      </c>
      <c r="Q12" s="1054" t="s">
        <v>28</v>
      </c>
      <c r="R12" s="1055"/>
      <c r="S12" s="1056"/>
    </row>
    <row r="13" spans="2:19" s="100" customFormat="1" x14ac:dyDescent="0.15">
      <c r="B13" s="1119"/>
      <c r="C13" s="1077"/>
      <c r="D13" s="1068" t="s">
        <v>64</v>
      </c>
      <c r="E13" s="423" t="s">
        <v>182</v>
      </c>
      <c r="F13" s="412">
        <f>('６　固定資本装備と減価償却費'!L7+'６　固定資本装備と減価償却費'!L10+'６　固定資本装備と減価償却費'!L11)*0.01</f>
        <v>6131.25</v>
      </c>
      <c r="G13" s="718" t="s">
        <v>471</v>
      </c>
      <c r="H13" s="719">
        <v>0.01</v>
      </c>
      <c r="I13" s="1033" t="s">
        <v>188</v>
      </c>
      <c r="J13" s="1116"/>
      <c r="K13" s="1113"/>
      <c r="L13" s="658" t="s">
        <v>390</v>
      </c>
      <c r="M13" s="659" t="s">
        <v>472</v>
      </c>
      <c r="N13" s="660">
        <f>20</f>
        <v>20</v>
      </c>
      <c r="O13" s="660">
        <v>550</v>
      </c>
      <c r="P13" s="660">
        <f>N13*O13</f>
        <v>11000</v>
      </c>
      <c r="Q13" s="1035" t="s">
        <v>236</v>
      </c>
      <c r="R13" s="1036"/>
      <c r="S13" s="1037"/>
    </row>
    <row r="14" spans="2:19" s="100" customFormat="1" x14ac:dyDescent="0.15">
      <c r="B14" s="1119"/>
      <c r="C14" s="1077"/>
      <c r="D14" s="1069"/>
      <c r="E14" s="423" t="s">
        <v>183</v>
      </c>
      <c r="F14" s="412">
        <f>('６　固定資本装備と減価償却費'!L18+'６　固定資本装備と減価償却費'!L19+'６　固定資本装備と減価償却費'!L20+'６　固定資本装備と減価償却費'!L21+'６　固定資本装備と減価償却費'!L22+'６　固定資本装備と減価償却費'!L23+'６　固定資本装備と減価償却費'!L24+'６　固定資本装備と減価償却費'!L25+'６　固定資本装備と減価償却費'!L26+'６　固定資本装備と減価償却費'!L27+'６　固定資本装備と減価償却費'!L28+'６　固定資本装備と減価償却費'!L29+'６　固定資本装備と減価償却費'!L30+'６　固定資本装備と減価償却費'!L31+'６　固定資本装備と減価償却費'!L32)*0.05</f>
        <v>95113.921348314616</v>
      </c>
      <c r="G14" s="718" t="s">
        <v>471</v>
      </c>
      <c r="H14" s="719">
        <v>0.05</v>
      </c>
      <c r="I14" s="1033" t="s">
        <v>188</v>
      </c>
      <c r="J14" s="1116"/>
      <c r="K14" s="1114"/>
      <c r="L14" s="312"/>
      <c r="M14" s="633"/>
      <c r="N14" s="314"/>
      <c r="O14" s="314"/>
      <c r="P14" s="314"/>
      <c r="Q14" s="1117"/>
      <c r="R14" s="1036"/>
      <c r="S14" s="1037"/>
    </row>
    <row r="15" spans="2:19" s="100" customFormat="1" ht="14.25" thickBot="1" x14ac:dyDescent="0.2">
      <c r="B15" s="1119"/>
      <c r="C15" s="1077"/>
      <c r="D15" s="1068" t="s">
        <v>95</v>
      </c>
      <c r="E15" s="423" t="s">
        <v>182</v>
      </c>
      <c r="F15" s="412">
        <f>'６　固定資本装備と減価償却費'!P7+'６　固定資本装備と減価償却費'!P10+'６　固定資本装備と減価償却費'!P11</f>
        <v>28048.5</v>
      </c>
      <c r="G15" s="1027" t="s">
        <v>188</v>
      </c>
      <c r="H15" s="1028"/>
      <c r="I15" s="1028"/>
      <c r="J15" s="1102"/>
      <c r="K15" s="1113"/>
      <c r="L15" s="112" t="s">
        <v>29</v>
      </c>
      <c r="M15" s="111"/>
      <c r="N15" s="112"/>
      <c r="O15" s="112"/>
      <c r="P15" s="112">
        <f>SUM(P13:P13)</f>
        <v>11000</v>
      </c>
      <c r="Q15" s="1045"/>
      <c r="R15" s="1046"/>
      <c r="S15" s="1047"/>
    </row>
    <row r="16" spans="2:19" s="100" customFormat="1" ht="14.25" thickTop="1" x14ac:dyDescent="0.15">
      <c r="B16" s="1119"/>
      <c r="C16" s="1077"/>
      <c r="D16" s="1070"/>
      <c r="E16" s="423" t="s">
        <v>183</v>
      </c>
      <c r="F16" s="635">
        <f>'６　固定資本装備と減価償却費'!P18+'６　固定資本装備と減価償却費'!P19+'６　固定資本装備と減価償却費'!P20+'６　固定資本装備と減価償却費'!P21+'６　固定資本装備と減価償却費'!P22+'６　固定資本装備と減価償却費'!P23+'６　固定資本装備と減価償却費'!P24+'６　固定資本装備と減価償却費'!P25+'６　固定資本装備と減価償却費'!P26+'６　固定資本装備と減価償却費'!P27+'６　固定資本装備と減価償却費'!P28+'６　固定資本装備と減価償却費'!P29+'６　固定資本装備と減価償却費'!P30+'６　固定資本装備と減価償却費'!P31+'６　固定資本装備と減価償却費'!P32</f>
        <v>295103.98073836282</v>
      </c>
      <c r="G16" s="417" t="s">
        <v>188</v>
      </c>
      <c r="H16" s="424"/>
      <c r="I16" s="424"/>
      <c r="J16" s="645"/>
      <c r="K16" s="1113"/>
      <c r="L16" s="188" t="s">
        <v>473</v>
      </c>
      <c r="M16" s="189"/>
      <c r="N16" s="261" t="s">
        <v>474</v>
      </c>
      <c r="O16" s="352" t="s">
        <v>24</v>
      </c>
      <c r="P16" s="191" t="s">
        <v>27</v>
      </c>
      <c r="Q16" s="1042" t="s">
        <v>28</v>
      </c>
      <c r="R16" s="1043"/>
      <c r="S16" s="1044"/>
    </row>
    <row r="17" spans="1:19" s="100" customFormat="1" x14ac:dyDescent="0.15">
      <c r="B17" s="1119"/>
      <c r="C17" s="1077"/>
      <c r="D17" s="1069"/>
      <c r="E17" s="412" t="s">
        <v>65</v>
      </c>
      <c r="F17" s="412">
        <v>0</v>
      </c>
      <c r="G17" s="1027" t="s">
        <v>188</v>
      </c>
      <c r="H17" s="1028"/>
      <c r="I17" s="1028"/>
      <c r="J17" s="1102"/>
      <c r="K17" s="1113"/>
      <c r="L17" s="253" t="s">
        <v>160</v>
      </c>
      <c r="M17" s="193"/>
      <c r="N17" s="417" t="s">
        <v>475</v>
      </c>
      <c r="O17" s="426"/>
      <c r="P17" s="427">
        <f>'８－１－２　水稲（食用倒伏しにくい）算出基礎'!G11</f>
        <v>38400</v>
      </c>
      <c r="Q17" s="1038"/>
      <c r="R17" s="1039"/>
      <c r="S17" s="1040"/>
    </row>
    <row r="18" spans="1:19" s="100" customFormat="1" x14ac:dyDescent="0.15">
      <c r="A18" s="99"/>
      <c r="B18" s="1119"/>
      <c r="C18" s="1077"/>
      <c r="D18" s="1092" t="s">
        <v>247</v>
      </c>
      <c r="E18" s="608" t="s">
        <v>130</v>
      </c>
      <c r="F18" s="412">
        <v>0</v>
      </c>
      <c r="G18" s="417"/>
      <c r="H18" s="424"/>
      <c r="I18" s="424"/>
      <c r="J18" s="645"/>
      <c r="K18" s="1113"/>
      <c r="L18" s="630" t="s">
        <v>161</v>
      </c>
      <c r="M18" s="110"/>
      <c r="N18" s="630" t="s">
        <v>477</v>
      </c>
      <c r="O18" s="631"/>
      <c r="P18" s="632">
        <f>'８－１－２　水稲（食用倒伏しにくい）算出基礎'!G16</f>
        <v>102025</v>
      </c>
      <c r="Q18" s="1038"/>
      <c r="R18" s="1039"/>
      <c r="S18" s="1040"/>
    </row>
    <row r="19" spans="1:19" s="100" customFormat="1" x14ac:dyDescent="0.15">
      <c r="A19" s="99"/>
      <c r="B19" s="1119"/>
      <c r="C19" s="1077"/>
      <c r="D19" s="1092"/>
      <c r="E19" s="608" t="s">
        <v>126</v>
      </c>
      <c r="F19" s="412">
        <f>J19*'５－１　水稲作業時間'!AO34</f>
        <v>37290.000000000007</v>
      </c>
      <c r="G19" s="417"/>
      <c r="H19" s="424"/>
      <c r="I19" s="428" t="s">
        <v>476</v>
      </c>
      <c r="J19" s="646">
        <v>1100</v>
      </c>
      <c r="K19" s="1114"/>
      <c r="L19" s="312"/>
      <c r="M19" s="633"/>
      <c r="N19" s="314"/>
      <c r="O19" s="314"/>
      <c r="P19" s="314"/>
      <c r="Q19" s="1039"/>
      <c r="R19" s="1039"/>
      <c r="S19" s="1040"/>
    </row>
    <row r="20" spans="1:19" s="100" customFormat="1" x14ac:dyDescent="0.15">
      <c r="A20" s="99"/>
      <c r="B20" s="1119"/>
      <c r="C20" s="1077"/>
      <c r="D20" s="1092"/>
      <c r="E20" s="608" t="s">
        <v>127</v>
      </c>
      <c r="F20" s="412">
        <f>J20*'５－１　水稲作業時間'!AP34</f>
        <v>55800</v>
      </c>
      <c r="G20" s="417"/>
      <c r="H20" s="424"/>
      <c r="I20" s="428" t="s">
        <v>478</v>
      </c>
      <c r="J20" s="646">
        <v>900</v>
      </c>
      <c r="K20" s="1113"/>
      <c r="L20" s="417"/>
      <c r="M20" s="418"/>
      <c r="N20" s="417"/>
      <c r="O20" s="426"/>
      <c r="P20" s="427"/>
      <c r="Q20" s="1038"/>
      <c r="R20" s="1039"/>
      <c r="S20" s="1040"/>
    </row>
    <row r="21" spans="1:19" s="100" customFormat="1" x14ac:dyDescent="0.15">
      <c r="A21" s="99"/>
      <c r="B21" s="1119"/>
      <c r="C21" s="1077"/>
      <c r="D21" s="1092"/>
      <c r="E21" s="608" t="s">
        <v>128</v>
      </c>
      <c r="F21" s="412">
        <f>(F19+F20)*0.012</f>
        <v>1117.08</v>
      </c>
      <c r="G21" s="417"/>
      <c r="H21" s="424"/>
      <c r="I21" s="424"/>
      <c r="J21" s="645"/>
      <c r="K21" s="1113"/>
      <c r="L21" s="417" t="s">
        <v>164</v>
      </c>
      <c r="M21" s="418"/>
      <c r="N21" s="417" t="s">
        <v>441</v>
      </c>
      <c r="O21" s="427"/>
      <c r="P21" s="427">
        <f>'８－１－２　水稲（食用倒伏しにくい）算出基礎'!G24</f>
        <v>14364.15</v>
      </c>
      <c r="Q21" s="1038"/>
      <c r="R21" s="1039"/>
      <c r="S21" s="1040"/>
    </row>
    <row r="22" spans="1:19" s="100" customFormat="1" ht="14.25" thickBot="1" x14ac:dyDescent="0.2">
      <c r="A22" s="99"/>
      <c r="B22" s="1119"/>
      <c r="C22" s="1077"/>
      <c r="D22" s="1092" t="s">
        <v>66</v>
      </c>
      <c r="E22" s="608" t="s">
        <v>67</v>
      </c>
      <c r="F22" s="412">
        <f t="shared" ref="F22:F23" si="0">I22*10</f>
        <v>23760</v>
      </c>
      <c r="G22" s="417"/>
      <c r="H22" s="424"/>
      <c r="I22" s="418">
        <v>2376</v>
      </c>
      <c r="J22" s="645" t="s">
        <v>445</v>
      </c>
      <c r="K22" s="1113"/>
      <c r="L22" s="112" t="s">
        <v>29</v>
      </c>
      <c r="M22" s="111"/>
      <c r="N22" s="112"/>
      <c r="O22" s="112"/>
      <c r="P22" s="112">
        <f>SUM(P17:P21)</f>
        <v>154789.15</v>
      </c>
      <c r="Q22" s="1045"/>
      <c r="R22" s="1046"/>
      <c r="S22" s="1047"/>
    </row>
    <row r="23" spans="1:19" s="100" customFormat="1" ht="14.25" thickTop="1" x14ac:dyDescent="0.15">
      <c r="A23" s="99"/>
      <c r="B23" s="1119"/>
      <c r="C23" s="1077"/>
      <c r="D23" s="1092"/>
      <c r="E23" s="608" t="s">
        <v>96</v>
      </c>
      <c r="F23" s="412">
        <f t="shared" si="0"/>
        <v>50000</v>
      </c>
      <c r="G23" s="417"/>
      <c r="H23" s="424"/>
      <c r="I23" s="418">
        <v>5000</v>
      </c>
      <c r="J23" s="645" t="s">
        <v>445</v>
      </c>
      <c r="K23" s="1113"/>
      <c r="L23" s="417" t="s">
        <v>479</v>
      </c>
      <c r="M23" s="418"/>
      <c r="N23" s="431" t="s">
        <v>26</v>
      </c>
      <c r="O23" s="431" t="s">
        <v>24</v>
      </c>
      <c r="P23" s="431" t="s">
        <v>27</v>
      </c>
      <c r="Q23" s="1042" t="s">
        <v>28</v>
      </c>
      <c r="R23" s="1043"/>
      <c r="S23" s="1044"/>
    </row>
    <row r="24" spans="1:19" s="100" customFormat="1" x14ac:dyDescent="0.15">
      <c r="A24" s="99"/>
      <c r="B24" s="1119"/>
      <c r="C24" s="1077"/>
      <c r="D24" s="412" t="s">
        <v>68</v>
      </c>
      <c r="E24" s="420"/>
      <c r="F24" s="412">
        <f>I24*10</f>
        <v>30000</v>
      </c>
      <c r="G24" s="417"/>
      <c r="H24" s="424"/>
      <c r="I24" s="432">
        <v>3000</v>
      </c>
      <c r="J24" s="645" t="s">
        <v>445</v>
      </c>
      <c r="K24" s="1113"/>
      <c r="L24" s="427" t="s">
        <v>30</v>
      </c>
      <c r="M24" s="418"/>
      <c r="N24" s="417" t="s">
        <v>480</v>
      </c>
      <c r="O24" s="427"/>
      <c r="P24" s="427">
        <f>'８－１－１　水稲（食用倒伏しやすい品種）算出基礎'!G38</f>
        <v>5512.1</v>
      </c>
      <c r="Q24" s="1038"/>
      <c r="R24" s="1039"/>
      <c r="S24" s="1040"/>
    </row>
    <row r="25" spans="1:19" s="100" customFormat="1" x14ac:dyDescent="0.15">
      <c r="A25" s="99"/>
      <c r="B25" s="1119"/>
      <c r="C25" s="1077"/>
      <c r="D25" s="412" t="s">
        <v>159</v>
      </c>
      <c r="E25" s="420"/>
      <c r="F25" s="412">
        <f>SUM(F6:F24)/99</f>
        <v>9074.1871958848824</v>
      </c>
      <c r="G25" s="433" t="s">
        <v>210</v>
      </c>
      <c r="H25" s="434">
        <v>0.01</v>
      </c>
      <c r="I25" s="611"/>
      <c r="J25" s="647"/>
      <c r="K25" s="1113"/>
      <c r="L25" s="427" t="s">
        <v>31</v>
      </c>
      <c r="M25" s="418"/>
      <c r="N25" s="417" t="s">
        <v>481</v>
      </c>
      <c r="O25" s="427"/>
      <c r="P25" s="427">
        <f>'８－１－２　水稲（食用倒伏しにくい）算出基礎'!G49</f>
        <v>4975</v>
      </c>
      <c r="Q25" s="1038"/>
      <c r="R25" s="1039"/>
      <c r="S25" s="1040"/>
    </row>
    <row r="26" spans="1:19" s="100" customFormat="1" x14ac:dyDescent="0.15">
      <c r="A26" s="99"/>
      <c r="B26" s="1119"/>
      <c r="C26" s="1078"/>
      <c r="D26" s="1100" t="s">
        <v>201</v>
      </c>
      <c r="E26" s="1101"/>
      <c r="F26" s="437">
        <f>SUM(F6:F25)</f>
        <v>907418.71958848822</v>
      </c>
      <c r="G26" s="438"/>
      <c r="H26" s="611"/>
      <c r="I26" s="611"/>
      <c r="J26" s="648"/>
      <c r="K26" s="1113"/>
      <c r="L26" s="427" t="s">
        <v>32</v>
      </c>
      <c r="M26" s="418"/>
      <c r="N26" s="417" t="s">
        <v>441</v>
      </c>
      <c r="O26" s="427"/>
      <c r="P26" s="427">
        <f>'８－１－２　水稲（食用倒伏しにくい）算出基礎'!G53</f>
        <v>24330</v>
      </c>
      <c r="Q26" s="1038"/>
      <c r="R26" s="1039"/>
      <c r="S26" s="1040"/>
    </row>
    <row r="27" spans="1:19" s="100" customFormat="1" x14ac:dyDescent="0.15">
      <c r="A27" s="99"/>
      <c r="B27" s="1119"/>
      <c r="C27" s="1093" t="s">
        <v>187</v>
      </c>
      <c r="D27" s="1096" t="s">
        <v>69</v>
      </c>
      <c r="E27" s="17" t="s">
        <v>3</v>
      </c>
      <c r="F27" s="422">
        <f>P11/30*J27</f>
        <v>16000</v>
      </c>
      <c r="G27" s="253"/>
      <c r="H27" s="418"/>
      <c r="I27" s="110" t="s">
        <v>451</v>
      </c>
      <c r="J27" s="649">
        <v>80</v>
      </c>
      <c r="K27" s="1113"/>
      <c r="L27" s="427" t="s">
        <v>416</v>
      </c>
      <c r="M27" s="418"/>
      <c r="N27" s="417" t="s">
        <v>481</v>
      </c>
      <c r="O27" s="427"/>
      <c r="P27" s="427">
        <f>'８－１－２　水稲（食用倒伏しにくい）算出基礎'!G57</f>
        <v>27940.166666666664</v>
      </c>
      <c r="Q27" s="1038"/>
      <c r="R27" s="1039"/>
      <c r="S27" s="1040"/>
    </row>
    <row r="28" spans="1:19" s="100" customFormat="1" ht="14.25" thickBot="1" x14ac:dyDescent="0.2">
      <c r="A28" s="99"/>
      <c r="B28" s="1119"/>
      <c r="C28" s="1094"/>
      <c r="D28" s="919"/>
      <c r="E28" s="17" t="s">
        <v>4</v>
      </c>
      <c r="F28" s="441">
        <v>0</v>
      </c>
      <c r="G28" s="253"/>
      <c r="H28" s="442"/>
      <c r="I28" s="442"/>
      <c r="J28" s="650"/>
      <c r="K28" s="1113"/>
      <c r="L28" s="112" t="s">
        <v>29</v>
      </c>
      <c r="M28" s="111"/>
      <c r="N28" s="112"/>
      <c r="O28" s="112"/>
      <c r="P28" s="112">
        <f>SUM(P24:P27)</f>
        <v>62757.266666666663</v>
      </c>
      <c r="Q28" s="1045"/>
      <c r="R28" s="1046"/>
      <c r="S28" s="1047"/>
    </row>
    <row r="29" spans="1:19" s="100" customFormat="1" ht="14.25" thickTop="1" x14ac:dyDescent="0.15">
      <c r="A29" s="99"/>
      <c r="B29" s="1119"/>
      <c r="C29" s="1094"/>
      <c r="D29" s="1097"/>
      <c r="E29" s="17" t="s">
        <v>8</v>
      </c>
      <c r="F29" s="422">
        <f>P11/30*J29</f>
        <v>5000</v>
      </c>
      <c r="G29" s="253"/>
      <c r="H29" s="610"/>
      <c r="I29" s="442" t="s">
        <v>452</v>
      </c>
      <c r="J29" s="651">
        <v>25</v>
      </c>
      <c r="K29" s="1113"/>
      <c r="L29" s="417" t="s">
        <v>482</v>
      </c>
      <c r="M29" s="418"/>
      <c r="N29" s="431" t="s">
        <v>26</v>
      </c>
      <c r="O29" s="431" t="s">
        <v>24</v>
      </c>
      <c r="P29" s="431" t="s">
        <v>27</v>
      </c>
      <c r="Q29" s="1042" t="s">
        <v>28</v>
      </c>
      <c r="R29" s="1043"/>
      <c r="S29" s="1044"/>
    </row>
    <row r="30" spans="1:19" s="100" customFormat="1" x14ac:dyDescent="0.15">
      <c r="A30" s="99"/>
      <c r="B30" s="1119"/>
      <c r="C30" s="1094"/>
      <c r="D30" s="17" t="s">
        <v>70</v>
      </c>
      <c r="E30" s="18"/>
      <c r="F30" s="422">
        <v>0</v>
      </c>
      <c r="G30" s="1027" t="s">
        <v>189</v>
      </c>
      <c r="H30" s="1028"/>
      <c r="I30" s="1028"/>
      <c r="J30" s="1102"/>
      <c r="K30" s="1113"/>
      <c r="L30" s="427" t="s">
        <v>483</v>
      </c>
      <c r="M30" s="446"/>
      <c r="N30" s="417" t="s">
        <v>455</v>
      </c>
      <c r="O30" s="426"/>
      <c r="P30" s="427">
        <f>'８－１－２　水稲（食用倒伏しにくい）算出基礎'!N12</f>
        <v>14054.271000000001</v>
      </c>
      <c r="Q30" s="1060"/>
      <c r="R30" s="1061"/>
      <c r="S30" s="1062"/>
    </row>
    <row r="31" spans="1:19" s="100" customFormat="1" x14ac:dyDescent="0.15">
      <c r="A31" s="99"/>
      <c r="B31" s="1119"/>
      <c r="C31" s="1094"/>
      <c r="D31" s="932" t="s">
        <v>248</v>
      </c>
      <c r="E31" s="607" t="s">
        <v>130</v>
      </c>
      <c r="F31" s="441">
        <v>0</v>
      </c>
      <c r="G31" s="1027" t="s">
        <v>189</v>
      </c>
      <c r="H31" s="1028"/>
      <c r="I31" s="1028"/>
      <c r="J31" s="1102"/>
      <c r="K31" s="1113"/>
      <c r="L31" s="427" t="s">
        <v>484</v>
      </c>
      <c r="M31" s="446"/>
      <c r="N31" s="417" t="s">
        <v>293</v>
      </c>
      <c r="O31" s="426"/>
      <c r="P31" s="427">
        <f>'８－１－２　水稲（食用倒伏しにくい）算出基礎'!N16</f>
        <v>1453.1615999999999</v>
      </c>
      <c r="Q31" s="1060"/>
      <c r="R31" s="1061"/>
      <c r="S31" s="1062"/>
    </row>
    <row r="32" spans="1:19" s="100" customFormat="1" x14ac:dyDescent="0.15">
      <c r="A32" s="99"/>
      <c r="B32" s="1119"/>
      <c r="C32" s="1094"/>
      <c r="D32" s="932"/>
      <c r="E32" s="607" t="s">
        <v>129</v>
      </c>
      <c r="F32" s="441">
        <v>0</v>
      </c>
      <c r="G32" s="1027" t="s">
        <v>189</v>
      </c>
      <c r="H32" s="1028"/>
      <c r="I32" s="1028"/>
      <c r="J32" s="1102"/>
      <c r="K32" s="1113"/>
      <c r="L32" s="427" t="s">
        <v>50</v>
      </c>
      <c r="M32" s="418"/>
      <c r="N32" s="426"/>
      <c r="O32" s="426"/>
      <c r="P32" s="427">
        <f>SUM(P30:P31)*R32</f>
        <v>4652.2297799999997</v>
      </c>
      <c r="Q32" s="451" t="s">
        <v>33</v>
      </c>
      <c r="R32" s="452">
        <v>0.3</v>
      </c>
      <c r="S32" s="453"/>
    </row>
    <row r="33" spans="1:23" ht="18" customHeight="1" x14ac:dyDescent="0.15">
      <c r="B33" s="1119"/>
      <c r="C33" s="1094"/>
      <c r="D33" s="17" t="s">
        <v>71</v>
      </c>
      <c r="E33" s="27"/>
      <c r="F33" s="441">
        <v>0</v>
      </c>
      <c r="G33" s="1027" t="s">
        <v>189</v>
      </c>
      <c r="H33" s="1028"/>
      <c r="I33" s="1028"/>
      <c r="J33" s="1102"/>
      <c r="K33" s="1113"/>
      <c r="L33" s="427" t="s">
        <v>51</v>
      </c>
      <c r="M33" s="446"/>
      <c r="N33" s="417"/>
      <c r="O33" s="426"/>
      <c r="P33" s="427">
        <f>'８－１－２　水稲（食用倒伏しにくい）算出基礎'!N20</f>
        <v>0</v>
      </c>
      <c r="Q33" s="1038"/>
      <c r="R33" s="1039"/>
      <c r="S33" s="1040"/>
    </row>
    <row r="34" spans="1:23" ht="18" customHeight="1" x14ac:dyDescent="0.15">
      <c r="B34" s="1119"/>
      <c r="C34" s="1094"/>
      <c r="D34" s="17" t="s">
        <v>97</v>
      </c>
      <c r="E34" s="27"/>
      <c r="F34" s="441">
        <v>0</v>
      </c>
      <c r="G34" s="1027" t="s">
        <v>189</v>
      </c>
      <c r="H34" s="1028"/>
      <c r="I34" s="1028"/>
      <c r="J34" s="1102"/>
      <c r="K34" s="1113"/>
      <c r="L34" s="427" t="s">
        <v>485</v>
      </c>
      <c r="M34" s="446"/>
      <c r="N34" s="417" t="s">
        <v>293</v>
      </c>
      <c r="O34" s="426"/>
      <c r="P34" s="427">
        <f>'８－１－２　水稲（食用倒伏しにくい）算出基礎'!N24</f>
        <v>17563.241999999998</v>
      </c>
      <c r="Q34" s="1038"/>
      <c r="R34" s="1039"/>
      <c r="S34" s="1040"/>
    </row>
    <row r="35" spans="1:23" ht="18" customHeight="1" x14ac:dyDescent="0.15">
      <c r="B35" s="1119"/>
      <c r="C35" s="1094"/>
      <c r="D35" s="17" t="s">
        <v>133</v>
      </c>
      <c r="E35" s="18"/>
      <c r="F35" s="441">
        <f>'８－１－２　水稲（食用倒伏しにくい）算出基礎'!V57</f>
        <v>8779.6296296296296</v>
      </c>
      <c r="G35" s="1027" t="s">
        <v>622</v>
      </c>
      <c r="H35" s="1028"/>
      <c r="I35" s="1028"/>
      <c r="J35" s="1102"/>
      <c r="K35" s="1113"/>
      <c r="L35" s="427" t="s">
        <v>245</v>
      </c>
      <c r="M35" s="446"/>
      <c r="N35" s="417"/>
      <c r="O35" s="426"/>
      <c r="P35" s="427">
        <f>'８－１－２　水稲（食用倒伏しにくい）算出基礎'!N28</f>
        <v>0</v>
      </c>
      <c r="Q35" s="1038"/>
      <c r="R35" s="1039"/>
      <c r="S35" s="1040"/>
    </row>
    <row r="36" spans="1:23" ht="18" customHeight="1" x14ac:dyDescent="0.15">
      <c r="B36" s="1119"/>
      <c r="C36" s="1094"/>
      <c r="D36" s="36" t="s">
        <v>98</v>
      </c>
      <c r="E36" s="37"/>
      <c r="F36" s="459">
        <v>0</v>
      </c>
      <c r="G36" s="417"/>
      <c r="H36" s="456"/>
      <c r="I36" s="457"/>
      <c r="J36" s="652"/>
      <c r="K36" s="1113"/>
      <c r="L36" s="427" t="s">
        <v>486</v>
      </c>
      <c r="M36" s="418"/>
      <c r="N36" s="417" t="s">
        <v>462</v>
      </c>
      <c r="O36" s="426"/>
      <c r="P36" s="427">
        <f>'８－１－２　水稲（食用倒伏しにくい）算出基礎'!N32</f>
        <v>3811.2200000000003</v>
      </c>
      <c r="Q36" s="1038"/>
      <c r="R36" s="1039"/>
      <c r="S36" s="1040"/>
    </row>
    <row r="37" spans="1:23" ht="18" customHeight="1" thickBot="1" x14ac:dyDescent="0.2">
      <c r="B37" s="1119"/>
      <c r="C37" s="1094"/>
      <c r="D37" s="17" t="s">
        <v>72</v>
      </c>
      <c r="E37" s="18"/>
      <c r="F37" s="441">
        <f>'８－１－２　水稲（食用倒伏しにくい）算出基礎'!N57</f>
        <v>4646.0648148148148</v>
      </c>
      <c r="G37" s="1027" t="s">
        <v>622</v>
      </c>
      <c r="H37" s="1028"/>
      <c r="I37" s="1028"/>
      <c r="J37" s="1102"/>
      <c r="K37" s="1115"/>
      <c r="L37" s="123" t="s">
        <v>29</v>
      </c>
      <c r="M37" s="122"/>
      <c r="N37" s="123"/>
      <c r="O37" s="123"/>
      <c r="P37" s="123">
        <f>SUM(P30:P36)</f>
        <v>41534.124380000001</v>
      </c>
      <c r="Q37" s="1057"/>
      <c r="R37" s="1058"/>
      <c r="S37" s="1059"/>
    </row>
    <row r="38" spans="1:23" s="117" customFormat="1" ht="18" customHeight="1" x14ac:dyDescent="0.15">
      <c r="A38" s="99"/>
      <c r="B38" s="1119"/>
      <c r="C38" s="1094"/>
      <c r="D38" s="17" t="s">
        <v>0</v>
      </c>
      <c r="E38" s="27"/>
      <c r="F38" s="441">
        <v>0</v>
      </c>
      <c r="G38" s="1103" t="s">
        <v>189</v>
      </c>
      <c r="H38" s="1104"/>
      <c r="I38" s="1104"/>
      <c r="J38" s="1105"/>
    </row>
    <row r="39" spans="1:23" s="117" customFormat="1" ht="18" customHeight="1" thickBot="1" x14ac:dyDescent="0.2">
      <c r="A39" s="99"/>
      <c r="B39" s="1120"/>
      <c r="C39" s="1095"/>
      <c r="D39" s="1098" t="s">
        <v>200</v>
      </c>
      <c r="E39" s="1099"/>
      <c r="F39" s="169">
        <f>SUM(F27:F38)</f>
        <v>34425.694444444445</v>
      </c>
      <c r="G39" s="170"/>
      <c r="H39" s="171"/>
      <c r="I39" s="172"/>
      <c r="J39" s="653"/>
      <c r="T39" s="118"/>
    </row>
    <row r="40" spans="1:23" s="117" customFormat="1" ht="18" customHeight="1" x14ac:dyDescent="0.15">
      <c r="A40" s="99"/>
      <c r="B40" s="1081" t="s">
        <v>204</v>
      </c>
      <c r="C40" s="1084" t="s">
        <v>74</v>
      </c>
      <c r="D40" s="164" t="s">
        <v>132</v>
      </c>
      <c r="E40" s="165"/>
      <c r="F40" s="464">
        <f>J40*10</f>
        <v>75000</v>
      </c>
      <c r="G40" s="417"/>
      <c r="H40" s="465"/>
      <c r="I40" s="465" t="s">
        <v>487</v>
      </c>
      <c r="J40" s="654">
        <v>7500</v>
      </c>
      <c r="T40" s="100"/>
      <c r="U40" s="100"/>
      <c r="V40" s="100"/>
      <c r="W40" s="100"/>
    </row>
    <row r="41" spans="1:23" s="117" customFormat="1" ht="18" customHeight="1" x14ac:dyDescent="0.15">
      <c r="A41" s="99"/>
      <c r="B41" s="1082"/>
      <c r="C41" s="1085"/>
      <c r="D41" s="17" t="s">
        <v>131</v>
      </c>
      <c r="E41" s="18"/>
      <c r="F41" s="158">
        <v>0</v>
      </c>
      <c r="G41" s="417"/>
      <c r="H41" s="124"/>
      <c r="I41" s="124"/>
      <c r="J41" s="655"/>
      <c r="T41" s="119"/>
      <c r="U41" s="120"/>
      <c r="V41" s="121"/>
      <c r="W41" s="119"/>
    </row>
    <row r="42" spans="1:23" s="117" customFormat="1" ht="18" customHeight="1" x14ac:dyDescent="0.15">
      <c r="A42" s="99"/>
      <c r="B42" s="1082"/>
      <c r="C42" s="1086"/>
      <c r="D42" s="36" t="s">
        <v>73</v>
      </c>
      <c r="E42" s="18"/>
      <c r="F42" s="159">
        <v>0</v>
      </c>
      <c r="G42" s="417"/>
      <c r="H42" s="124"/>
      <c r="I42" s="124"/>
      <c r="J42" s="655"/>
      <c r="T42" s="100"/>
      <c r="U42" s="100"/>
      <c r="V42" s="100"/>
      <c r="W42" s="100"/>
    </row>
    <row r="43" spans="1:23" s="117" customFormat="1" ht="18" customHeight="1" x14ac:dyDescent="0.15">
      <c r="B43" s="1082"/>
      <c r="C43" s="1087" t="s">
        <v>488</v>
      </c>
      <c r="D43" s="36" t="s">
        <v>249</v>
      </c>
      <c r="E43" s="37"/>
      <c r="F43" s="159">
        <v>0</v>
      </c>
      <c r="G43" s="417"/>
      <c r="H43" s="124"/>
      <c r="I43" s="124"/>
      <c r="J43" s="655"/>
      <c r="T43" s="101"/>
      <c r="U43" s="118"/>
      <c r="V43" s="100"/>
      <c r="W43" s="119"/>
    </row>
    <row r="44" spans="1:23" s="117" customFormat="1" ht="18" customHeight="1" x14ac:dyDescent="0.15">
      <c r="B44" s="1082"/>
      <c r="C44" s="1088"/>
      <c r="D44" s="38" t="s">
        <v>1</v>
      </c>
      <c r="E44" s="39"/>
      <c r="F44" s="159">
        <v>0</v>
      </c>
      <c r="G44" s="417"/>
      <c r="H44" s="124"/>
      <c r="I44" s="124"/>
      <c r="J44" s="655"/>
      <c r="T44" s="101"/>
      <c r="U44" s="118"/>
      <c r="V44" s="100"/>
      <c r="W44" s="119"/>
    </row>
    <row r="45" spans="1:23" s="117" customFormat="1" ht="18" customHeight="1" thickBot="1" x14ac:dyDescent="0.2">
      <c r="B45" s="1083"/>
      <c r="C45" s="1089" t="s">
        <v>100</v>
      </c>
      <c r="D45" s="1090"/>
      <c r="E45" s="1091"/>
      <c r="F45" s="160">
        <f>SUM(F40:F42)-SUM(F43:F44)</f>
        <v>75000</v>
      </c>
      <c r="G45" s="125"/>
      <c r="H45" s="126"/>
      <c r="I45" s="126"/>
      <c r="J45" s="656"/>
      <c r="T45" s="100"/>
      <c r="U45" s="100"/>
      <c r="V45" s="120"/>
      <c r="W45" s="100"/>
    </row>
    <row r="49" spans="4:6" x14ac:dyDescent="0.15">
      <c r="D49" s="636" t="s">
        <v>465</v>
      </c>
      <c r="E49" s="636"/>
      <c r="F49" s="636">
        <f>F4-F26</f>
        <v>-49418.719588488224</v>
      </c>
    </row>
  </sheetData>
  <mergeCells count="69">
    <mergeCell ref="Q36:S36"/>
    <mergeCell ref="Q37:S37"/>
    <mergeCell ref="D39:E39"/>
    <mergeCell ref="B40:B45"/>
    <mergeCell ref="C40:C42"/>
    <mergeCell ref="C43:C44"/>
    <mergeCell ref="C45:E45"/>
    <mergeCell ref="D26:E26"/>
    <mergeCell ref="B6:B39"/>
    <mergeCell ref="Q26:S26"/>
    <mergeCell ref="C27:C39"/>
    <mergeCell ref="D27:D29"/>
    <mergeCell ref="Q27:S27"/>
    <mergeCell ref="Q28:S28"/>
    <mergeCell ref="Q29:S29"/>
    <mergeCell ref="Q30:S30"/>
    <mergeCell ref="D31:D32"/>
    <mergeCell ref="Q31:S31"/>
    <mergeCell ref="Q33:S33"/>
    <mergeCell ref="C6:C26"/>
    <mergeCell ref="R6:S6"/>
    <mergeCell ref="R7:S7"/>
    <mergeCell ref="R8:S8"/>
    <mergeCell ref="Q18:S18"/>
    <mergeCell ref="Q19:S19"/>
    <mergeCell ref="Q20:S20"/>
    <mergeCell ref="Q21:S21"/>
    <mergeCell ref="D22:D23"/>
    <mergeCell ref="Q22:S22"/>
    <mergeCell ref="Q23:S23"/>
    <mergeCell ref="D15:D17"/>
    <mergeCell ref="Q15:S15"/>
    <mergeCell ref="Q16:S16"/>
    <mergeCell ref="Q17:S17"/>
    <mergeCell ref="K12:K37"/>
    <mergeCell ref="Q12:S12"/>
    <mergeCell ref="Q24:S24"/>
    <mergeCell ref="Q25:S25"/>
    <mergeCell ref="D13:D14"/>
    <mergeCell ref="I13:J13"/>
    <mergeCell ref="Q13:S13"/>
    <mergeCell ref="I14:J14"/>
    <mergeCell ref="Q14:S14"/>
    <mergeCell ref="Q34:S34"/>
    <mergeCell ref="Q35:S35"/>
    <mergeCell ref="D18:D21"/>
    <mergeCell ref="R9:S9"/>
    <mergeCell ref="G10:J10"/>
    <mergeCell ref="R10:S10"/>
    <mergeCell ref="G11:J11"/>
    <mergeCell ref="R11:S11"/>
    <mergeCell ref="B3:E3"/>
    <mergeCell ref="K3:S3"/>
    <mergeCell ref="B4:C5"/>
    <mergeCell ref="R4:S4"/>
    <mergeCell ref="R5:S5"/>
    <mergeCell ref="G7:J7"/>
    <mergeCell ref="G8:J8"/>
    <mergeCell ref="G9:J9"/>
    <mergeCell ref="G15:J15"/>
    <mergeCell ref="G17:J17"/>
    <mergeCell ref="G35:J35"/>
    <mergeCell ref="G37:J37"/>
    <mergeCell ref="G38:J38"/>
    <mergeCell ref="G30:J30"/>
    <mergeCell ref="G31:J31"/>
    <mergeCell ref="G32:J32"/>
    <mergeCell ref="G33:J33"/>
    <mergeCell ref="G34:J34"/>
  </mergeCells>
  <phoneticPr fontId="4"/>
  <pageMargins left="0.7" right="0.7" top="0.75" bottom="0.75" header="0.3" footer="0.3"/>
  <pageSetup paperSize="9"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9"/>
  <sheetViews>
    <sheetView zoomScale="75" zoomScaleNormal="75" workbookViewId="0"/>
  </sheetViews>
  <sheetFormatPr defaultColWidth="10.875" defaultRowHeight="13.5" x14ac:dyDescent="0.15"/>
  <cols>
    <col min="1" max="1" width="1.625" style="99" customWidth="1"/>
    <col min="2" max="2" width="5.875" style="99" customWidth="1"/>
    <col min="3" max="3" width="10.625" style="99" customWidth="1"/>
    <col min="4" max="4" width="12.375" style="99" customWidth="1"/>
    <col min="5" max="5" width="14.625" style="99" customWidth="1"/>
    <col min="6" max="7" width="15.875" style="99" customWidth="1"/>
    <col min="8" max="8" width="10.875" style="99"/>
    <col min="9" max="9" width="11.375" style="99" bestFit="1" customWidth="1"/>
    <col min="10" max="10" width="13.375" style="99" customWidth="1"/>
    <col min="11" max="11" width="7.125" style="99" customWidth="1"/>
    <col min="12" max="12" width="15.375" style="99" customWidth="1"/>
    <col min="13" max="13" width="9.375" style="99" bestFit="1" customWidth="1"/>
    <col min="14" max="14" width="10.875" style="99"/>
    <col min="15" max="15" width="7.25" style="99" customWidth="1"/>
    <col min="16" max="16" width="9.625" style="99" customWidth="1"/>
    <col min="17" max="17" width="10.875" style="99" customWidth="1"/>
    <col min="18" max="18" width="7.5" style="99" customWidth="1"/>
    <col min="19" max="19" width="3.75" style="99" customWidth="1"/>
    <col min="20" max="16384" width="10.875" style="99"/>
  </cols>
  <sheetData>
    <row r="1" spans="2:19" s="100" customFormat="1" x14ac:dyDescent="0.15">
      <c r="B1" s="99"/>
      <c r="C1" s="99"/>
      <c r="D1" s="99"/>
      <c r="E1" s="99"/>
      <c r="F1" s="99"/>
      <c r="G1" s="99"/>
      <c r="H1" s="99"/>
      <c r="I1" s="99"/>
      <c r="J1" s="99"/>
      <c r="K1" s="99"/>
      <c r="L1" s="99"/>
      <c r="M1" s="99"/>
      <c r="N1" s="99"/>
      <c r="O1" s="99"/>
      <c r="P1" s="99"/>
      <c r="Q1" s="99"/>
      <c r="R1" s="99"/>
      <c r="S1" s="99"/>
    </row>
    <row r="2" spans="2:19" s="100" customFormat="1" ht="14.25" thickBot="1" x14ac:dyDescent="0.2">
      <c r="B2" s="2" t="s">
        <v>489</v>
      </c>
      <c r="H2" s="101" t="s">
        <v>237</v>
      </c>
      <c r="I2" s="2" t="s">
        <v>490</v>
      </c>
      <c r="K2" s="101" t="s">
        <v>238</v>
      </c>
      <c r="L2" s="2" t="s">
        <v>239</v>
      </c>
      <c r="N2" s="99"/>
      <c r="O2" s="99"/>
      <c r="Q2" s="3"/>
      <c r="R2" s="3"/>
    </row>
    <row r="3" spans="2:19" s="100" customFormat="1" x14ac:dyDescent="0.15">
      <c r="B3" s="1073" t="s">
        <v>20</v>
      </c>
      <c r="C3" s="1074"/>
      <c r="D3" s="1074"/>
      <c r="E3" s="1075"/>
      <c r="F3" s="356" t="s">
        <v>21</v>
      </c>
      <c r="G3" s="409"/>
      <c r="H3" s="410" t="s">
        <v>22</v>
      </c>
      <c r="I3" s="411"/>
      <c r="J3" s="411"/>
      <c r="K3" s="1063" t="s">
        <v>468</v>
      </c>
      <c r="L3" s="1064"/>
      <c r="M3" s="1064"/>
      <c r="N3" s="1064"/>
      <c r="O3" s="1064"/>
      <c r="P3" s="1064"/>
      <c r="Q3" s="1064"/>
      <c r="R3" s="1064"/>
      <c r="S3" s="1065"/>
    </row>
    <row r="4" spans="2:19" s="100" customFormat="1" x14ac:dyDescent="0.15">
      <c r="B4" s="1071" t="s">
        <v>23</v>
      </c>
      <c r="C4" s="1072"/>
      <c r="D4" s="253" t="s">
        <v>202</v>
      </c>
      <c r="E4" s="206"/>
      <c r="F4" s="412">
        <f>+R11</f>
        <v>798000</v>
      </c>
      <c r="G4" s="253" t="s">
        <v>184</v>
      </c>
      <c r="H4" s="413"/>
      <c r="I4" s="413"/>
      <c r="J4" s="413"/>
      <c r="K4" s="414" t="s">
        <v>57</v>
      </c>
      <c r="L4" s="415" t="s">
        <v>491</v>
      </c>
      <c r="M4" s="416" t="s">
        <v>24</v>
      </c>
      <c r="N4" s="416" t="s">
        <v>23</v>
      </c>
      <c r="O4" s="416" t="s">
        <v>57</v>
      </c>
      <c r="P4" s="415" t="s">
        <v>491</v>
      </c>
      <c r="Q4" s="416" t="s">
        <v>24</v>
      </c>
      <c r="R4" s="1066" t="s">
        <v>23</v>
      </c>
      <c r="S4" s="1067"/>
    </row>
    <row r="5" spans="2:19" s="100" customFormat="1" x14ac:dyDescent="0.15">
      <c r="B5" s="1071"/>
      <c r="C5" s="1072"/>
      <c r="D5" s="253" t="s">
        <v>93</v>
      </c>
      <c r="E5" s="206"/>
      <c r="F5" s="412">
        <v>0</v>
      </c>
      <c r="G5" s="417"/>
      <c r="H5" s="418"/>
      <c r="I5" s="418"/>
      <c r="J5" s="418"/>
      <c r="K5" s="468" t="s">
        <v>387</v>
      </c>
      <c r="L5" s="412">
        <f>6000</f>
        <v>6000</v>
      </c>
      <c r="M5" s="412">
        <v>133</v>
      </c>
      <c r="N5" s="412">
        <f>L5*M5</f>
        <v>798000</v>
      </c>
      <c r="O5" s="412"/>
      <c r="P5" s="412"/>
      <c r="Q5" s="412"/>
      <c r="R5" s="1041"/>
      <c r="S5" s="1032"/>
    </row>
    <row r="6" spans="2:19" s="100" customFormat="1" x14ac:dyDescent="0.15">
      <c r="B6" s="1079" t="s">
        <v>207</v>
      </c>
      <c r="C6" s="1076" t="s">
        <v>193</v>
      </c>
      <c r="D6" s="412" t="s">
        <v>60</v>
      </c>
      <c r="E6" s="420"/>
      <c r="F6" s="412">
        <f>P15</f>
        <v>11000</v>
      </c>
      <c r="G6" s="417" t="s">
        <v>185</v>
      </c>
      <c r="H6" s="418"/>
      <c r="I6" s="418"/>
      <c r="J6" s="418"/>
      <c r="K6" s="205"/>
      <c r="L6" s="203"/>
      <c r="M6" s="412"/>
      <c r="N6" s="412"/>
      <c r="O6" s="412"/>
      <c r="P6" s="412"/>
      <c r="Q6" s="412"/>
      <c r="R6" s="1041"/>
      <c r="S6" s="1032"/>
    </row>
    <row r="7" spans="2:19" s="100" customFormat="1" x14ac:dyDescent="0.15">
      <c r="B7" s="1050"/>
      <c r="C7" s="1077"/>
      <c r="D7" s="412" t="s">
        <v>61</v>
      </c>
      <c r="E7" s="420"/>
      <c r="F7" s="412">
        <f>P22</f>
        <v>139623.85</v>
      </c>
      <c r="G7" s="1027" t="s">
        <v>607</v>
      </c>
      <c r="H7" s="1028"/>
      <c r="I7" s="1028"/>
      <c r="J7" s="1029"/>
      <c r="K7" s="204"/>
      <c r="L7" s="349"/>
      <c r="M7" s="412"/>
      <c r="N7" s="412"/>
      <c r="O7" s="412"/>
      <c r="P7" s="412"/>
      <c r="Q7" s="412"/>
      <c r="R7" s="1041"/>
      <c r="S7" s="1032"/>
    </row>
    <row r="8" spans="2:19" s="100" customFormat="1" x14ac:dyDescent="0.15">
      <c r="B8" s="1050"/>
      <c r="C8" s="1077"/>
      <c r="D8" s="412" t="s">
        <v>62</v>
      </c>
      <c r="E8" s="420"/>
      <c r="F8" s="412">
        <f>P28</f>
        <v>72085.600000000006</v>
      </c>
      <c r="G8" s="1027" t="s">
        <v>608</v>
      </c>
      <c r="H8" s="1028"/>
      <c r="I8" s="1028"/>
      <c r="J8" s="1029"/>
      <c r="K8" s="420"/>
      <c r="L8" s="412"/>
      <c r="M8" s="412"/>
      <c r="N8" s="412"/>
      <c r="O8" s="412"/>
      <c r="P8" s="412"/>
      <c r="Q8" s="412"/>
      <c r="R8" s="1041"/>
      <c r="S8" s="1032"/>
    </row>
    <row r="9" spans="2:19" s="100" customFormat="1" x14ac:dyDescent="0.15">
      <c r="B9" s="1050"/>
      <c r="C9" s="1077"/>
      <c r="D9" s="412" t="s">
        <v>94</v>
      </c>
      <c r="E9" s="420"/>
      <c r="F9" s="412">
        <f>P37</f>
        <v>41534.124380000001</v>
      </c>
      <c r="G9" s="1027" t="s">
        <v>609</v>
      </c>
      <c r="H9" s="1028"/>
      <c r="I9" s="1028"/>
      <c r="J9" s="1029"/>
      <c r="K9" s="420"/>
      <c r="L9" s="412"/>
      <c r="M9" s="412"/>
      <c r="N9" s="412"/>
      <c r="O9" s="412"/>
      <c r="P9" s="412"/>
      <c r="Q9" s="412"/>
      <c r="R9" s="1041"/>
      <c r="S9" s="1032"/>
    </row>
    <row r="10" spans="2:19" s="100" customFormat="1" x14ac:dyDescent="0.15">
      <c r="B10" s="1050"/>
      <c r="C10" s="1077"/>
      <c r="D10" s="412" t="s">
        <v>63</v>
      </c>
      <c r="E10" s="420"/>
      <c r="F10" s="412">
        <f>'８－１－３　水稲（加工用米）算出基礎'!V21</f>
        <v>5806.666666666667</v>
      </c>
      <c r="G10" s="1030" t="s">
        <v>610</v>
      </c>
      <c r="H10" s="1031"/>
      <c r="I10" s="1031"/>
      <c r="J10" s="1032"/>
      <c r="K10" s="420"/>
      <c r="L10" s="412"/>
      <c r="M10" s="412"/>
      <c r="N10" s="412"/>
      <c r="O10" s="412"/>
      <c r="P10" s="412"/>
      <c r="Q10" s="412"/>
      <c r="R10" s="1041"/>
      <c r="S10" s="1032"/>
    </row>
    <row r="11" spans="2:19" s="100" customFormat="1" ht="14.25" thickBot="1" x14ac:dyDescent="0.2">
      <c r="B11" s="1050"/>
      <c r="C11" s="1077"/>
      <c r="D11" s="412" t="s">
        <v>6</v>
      </c>
      <c r="E11" s="420"/>
      <c r="F11" s="412">
        <f>'８－１－３　水稲（加工用米）算出基礎'!V34</f>
        <v>92.592592592592595</v>
      </c>
      <c r="G11" s="1030" t="s">
        <v>610</v>
      </c>
      <c r="H11" s="1031"/>
      <c r="I11" s="1031"/>
      <c r="J11" s="1032"/>
      <c r="K11" s="120"/>
      <c r="L11" s="106"/>
      <c r="M11" s="106"/>
      <c r="N11" s="422"/>
      <c r="O11" s="107" t="s">
        <v>25</v>
      </c>
      <c r="P11" s="108">
        <f>SUM(L5:L11,P5:Q10)</f>
        <v>6000</v>
      </c>
      <c r="Q11" s="109">
        <f>R11/P11</f>
        <v>133</v>
      </c>
      <c r="R11" s="1052">
        <f>SUM(N5:N11,R5:S10)</f>
        <v>798000</v>
      </c>
      <c r="S11" s="1053"/>
    </row>
    <row r="12" spans="2:19" s="100" customFormat="1" ht="14.25" thickTop="1" x14ac:dyDescent="0.15">
      <c r="B12" s="1050"/>
      <c r="C12" s="1077"/>
      <c r="D12" s="412" t="s">
        <v>7</v>
      </c>
      <c r="E12" s="420"/>
      <c r="F12" s="412">
        <v>0</v>
      </c>
      <c r="G12" s="417"/>
      <c r="H12" s="418"/>
      <c r="I12" s="418"/>
      <c r="J12" s="421"/>
      <c r="K12" s="1048" t="s">
        <v>208</v>
      </c>
      <c r="L12" s="194" t="s">
        <v>155</v>
      </c>
      <c r="M12" s="351" t="s">
        <v>9</v>
      </c>
      <c r="N12" s="262" t="s">
        <v>492</v>
      </c>
      <c r="O12" s="350" t="s">
        <v>24</v>
      </c>
      <c r="P12" s="350" t="s">
        <v>27</v>
      </c>
      <c r="Q12" s="1054" t="s">
        <v>28</v>
      </c>
      <c r="R12" s="1055"/>
      <c r="S12" s="1056"/>
    </row>
    <row r="13" spans="2:19" s="100" customFormat="1" x14ac:dyDescent="0.15">
      <c r="B13" s="1050"/>
      <c r="C13" s="1077"/>
      <c r="D13" s="1068" t="s">
        <v>64</v>
      </c>
      <c r="E13" s="423" t="s">
        <v>182</v>
      </c>
      <c r="F13" s="624">
        <f>('６　固定資本装備と減価償却費'!L7+'６　固定資本装備と減価償却費'!L10+'６　固定資本装備と減価償却費'!L11)*0.01</f>
        <v>6131.25</v>
      </c>
      <c r="G13" s="720" t="s">
        <v>493</v>
      </c>
      <c r="H13" s="719">
        <v>0.01</v>
      </c>
      <c r="I13" s="1033" t="s">
        <v>188</v>
      </c>
      <c r="J13" s="1034"/>
      <c r="K13" s="1050"/>
      <c r="L13" s="469" t="s">
        <v>494</v>
      </c>
      <c r="M13" s="193" t="s">
        <v>495</v>
      </c>
      <c r="N13" s="355">
        <f>ROUNDUP(131*0.15,0)</f>
        <v>20</v>
      </c>
      <c r="O13" s="355">
        <v>550</v>
      </c>
      <c r="P13" s="355">
        <f>N13*O13</f>
        <v>11000</v>
      </c>
      <c r="Q13" s="1035" t="s">
        <v>236</v>
      </c>
      <c r="R13" s="1036"/>
      <c r="S13" s="1037"/>
    </row>
    <row r="14" spans="2:19" s="100" customFormat="1" x14ac:dyDescent="0.15">
      <c r="B14" s="1050"/>
      <c r="C14" s="1077"/>
      <c r="D14" s="1069"/>
      <c r="E14" s="423" t="s">
        <v>183</v>
      </c>
      <c r="F14" s="625">
        <f>('６　固定資本装備と減価償却費'!L18+'６　固定資本装備と減価償却費'!L19+'６　固定資本装備と減価償却費'!L20+'６　固定資本装備と減価償却費'!L21+'６　固定資本装備と減価償却費'!L22+'６　固定資本装備と減価償却費'!L23+'６　固定資本装備と減価償却費'!L24+'６　固定資本装備と減価償却費'!L25+'６　固定資本装備と減価償却費'!L26+'６　固定資本装備と減価償却費'!L27+'６　固定資本装備と減価償却費'!L28+'６　固定資本装備と減価償却費'!L29+'６　固定資本装備と減価償却費'!L30+'６　固定資本装備と減価償却費'!L31+'６　固定資本装備と減価償却費'!L32)*0.05</f>
        <v>95113.921348314616</v>
      </c>
      <c r="G14" s="720" t="s">
        <v>496</v>
      </c>
      <c r="H14" s="719">
        <v>0.05</v>
      </c>
      <c r="I14" s="1033" t="s">
        <v>188</v>
      </c>
      <c r="J14" s="1034"/>
      <c r="K14" s="1049"/>
      <c r="L14" s="353"/>
      <c r="M14" s="193"/>
      <c r="N14" s="355"/>
      <c r="O14" s="355"/>
      <c r="P14" s="355"/>
      <c r="Q14" s="1125"/>
      <c r="R14" s="1036"/>
      <c r="S14" s="1037"/>
    </row>
    <row r="15" spans="2:19" s="100" customFormat="1" ht="14.25" thickBot="1" x14ac:dyDescent="0.2">
      <c r="B15" s="1050"/>
      <c r="C15" s="1077"/>
      <c r="D15" s="1068" t="s">
        <v>95</v>
      </c>
      <c r="E15" s="423" t="s">
        <v>182</v>
      </c>
      <c r="F15" s="625">
        <f>'６　固定資本装備と減価償却費'!P7+'６　固定資本装備と減価償却費'!P10+'６　固定資本装備と減価償却費'!P11</f>
        <v>28048.5</v>
      </c>
      <c r="G15" s="1122" t="s">
        <v>188</v>
      </c>
      <c r="H15" s="1123"/>
      <c r="I15" s="1123"/>
      <c r="J15" s="1124"/>
      <c r="K15" s="1049"/>
      <c r="L15" s="112" t="s">
        <v>29</v>
      </c>
      <c r="M15" s="111"/>
      <c r="N15" s="112"/>
      <c r="O15" s="112"/>
      <c r="P15" s="112">
        <f>SUM(P13:P14)</f>
        <v>11000</v>
      </c>
      <c r="Q15" s="1045"/>
      <c r="R15" s="1046"/>
      <c r="S15" s="1047"/>
    </row>
    <row r="16" spans="2:19" s="100" customFormat="1" ht="14.25" thickTop="1" x14ac:dyDescent="0.15">
      <c r="B16" s="1050"/>
      <c r="C16" s="1077"/>
      <c r="D16" s="1070"/>
      <c r="E16" s="423" t="s">
        <v>183</v>
      </c>
      <c r="F16" s="626">
        <f>'６　固定資本装備と減価償却費'!P18+'６　固定資本装備と減価償却費'!P19+'６　固定資本装備と減価償却費'!P20+'６　固定資本装備と減価償却費'!P21+'６　固定資本装備と減価償却費'!P22+'６　固定資本装備と減価償却費'!P23+'６　固定資本装備と減価償却費'!P24+'６　固定資本装備と減価償却費'!P25+'６　固定資本装備と減価償却費'!P26+'６　固定資本装備と減価償却費'!P27+'６　固定資本装備と減価償却費'!P28+'６　固定資本装備と減価償却費'!P29+'６　固定資本装備と減価償却費'!P30+'６　固定資本装備と減価償却費'!P31+'６　固定資本装備と減価償却費'!P32</f>
        <v>295103.98073836282</v>
      </c>
      <c r="G16" s="1122" t="s">
        <v>188</v>
      </c>
      <c r="H16" s="1123"/>
      <c r="I16" s="1123"/>
      <c r="J16" s="1124"/>
      <c r="K16" s="1049"/>
      <c r="L16" s="188" t="s">
        <v>497</v>
      </c>
      <c r="M16" s="189"/>
      <c r="N16" s="261" t="s">
        <v>492</v>
      </c>
      <c r="O16" s="352" t="s">
        <v>24</v>
      </c>
      <c r="P16" s="191" t="s">
        <v>27</v>
      </c>
      <c r="Q16" s="1042" t="s">
        <v>28</v>
      </c>
      <c r="R16" s="1043"/>
      <c r="S16" s="1044"/>
    </row>
    <row r="17" spans="1:19" s="100" customFormat="1" x14ac:dyDescent="0.15">
      <c r="B17" s="1050"/>
      <c r="C17" s="1077"/>
      <c r="D17" s="1069"/>
      <c r="E17" s="412" t="s">
        <v>65</v>
      </c>
      <c r="F17" s="412">
        <v>0</v>
      </c>
      <c r="G17" s="1027" t="s">
        <v>188</v>
      </c>
      <c r="H17" s="1028"/>
      <c r="I17" s="1028"/>
      <c r="J17" s="1029"/>
      <c r="K17" s="1049"/>
      <c r="L17" s="253" t="s">
        <v>160</v>
      </c>
      <c r="M17" s="193"/>
      <c r="N17" s="417" t="s">
        <v>498</v>
      </c>
      <c r="O17" s="426"/>
      <c r="P17" s="427">
        <f>'８－１－３　水稲（加工用米）算出基礎'!G11</f>
        <v>38400</v>
      </c>
      <c r="Q17" s="1038"/>
      <c r="R17" s="1039"/>
      <c r="S17" s="1040"/>
    </row>
    <row r="18" spans="1:19" s="100" customFormat="1" x14ac:dyDescent="0.15">
      <c r="A18" s="99"/>
      <c r="B18" s="1050"/>
      <c r="C18" s="1077"/>
      <c r="D18" s="1092" t="s">
        <v>247</v>
      </c>
      <c r="E18" s="349" t="s">
        <v>130</v>
      </c>
      <c r="F18" s="412">
        <v>0</v>
      </c>
      <c r="G18" s="417"/>
      <c r="H18" s="424"/>
      <c r="I18" s="424"/>
      <c r="J18" s="425"/>
      <c r="K18" s="1049"/>
      <c r="L18" s="630" t="s">
        <v>161</v>
      </c>
      <c r="M18" s="110"/>
      <c r="N18" s="630" t="s">
        <v>498</v>
      </c>
      <c r="O18" s="631"/>
      <c r="P18" s="632">
        <f>'８－１－３　水稲（加工用米）算出基礎'!G16</f>
        <v>80500</v>
      </c>
      <c r="Q18" s="1038"/>
      <c r="R18" s="1039"/>
      <c r="S18" s="1040"/>
    </row>
    <row r="19" spans="1:19" s="100" customFormat="1" x14ac:dyDescent="0.15">
      <c r="A19" s="99"/>
      <c r="B19" s="1050"/>
      <c r="C19" s="1077"/>
      <c r="D19" s="1092"/>
      <c r="E19" s="349" t="s">
        <v>126</v>
      </c>
      <c r="F19" s="412">
        <f>J19*'５－１　水稲作業時間'!AO34</f>
        <v>37290.000000000007</v>
      </c>
      <c r="G19" s="417"/>
      <c r="H19" s="424"/>
      <c r="I19" s="428" t="s">
        <v>499</v>
      </c>
      <c r="J19" s="430">
        <v>1100</v>
      </c>
      <c r="K19" s="1050"/>
      <c r="L19" s="312"/>
      <c r="M19" s="633"/>
      <c r="N19" s="314"/>
      <c r="O19" s="314"/>
      <c r="P19" s="314"/>
      <c r="Q19" s="1039"/>
      <c r="R19" s="1039"/>
      <c r="S19" s="1040"/>
    </row>
    <row r="20" spans="1:19" s="100" customFormat="1" x14ac:dyDescent="0.15">
      <c r="A20" s="99"/>
      <c r="B20" s="1050"/>
      <c r="C20" s="1077"/>
      <c r="D20" s="1092"/>
      <c r="E20" s="349" t="s">
        <v>127</v>
      </c>
      <c r="F20" s="412">
        <f>J20*'５－１　水稲作業時間'!AP34</f>
        <v>55800</v>
      </c>
      <c r="G20" s="417"/>
      <c r="H20" s="424"/>
      <c r="I20" s="428" t="s">
        <v>500</v>
      </c>
      <c r="J20" s="430">
        <v>900</v>
      </c>
      <c r="K20" s="1049"/>
      <c r="L20" s="417"/>
      <c r="M20" s="418"/>
      <c r="N20" s="417"/>
      <c r="O20" s="426"/>
      <c r="P20" s="427"/>
      <c r="Q20" s="1038"/>
      <c r="R20" s="1039"/>
      <c r="S20" s="1040"/>
    </row>
    <row r="21" spans="1:19" s="100" customFormat="1" x14ac:dyDescent="0.15">
      <c r="A21" s="99"/>
      <c r="B21" s="1050"/>
      <c r="C21" s="1077"/>
      <c r="D21" s="1092"/>
      <c r="E21" s="349" t="s">
        <v>128</v>
      </c>
      <c r="F21" s="412">
        <f>(F19+F20)*0.012</f>
        <v>1117.08</v>
      </c>
      <c r="G21" s="417"/>
      <c r="H21" s="424"/>
      <c r="I21" s="424"/>
      <c r="J21" s="425"/>
      <c r="K21" s="1049"/>
      <c r="L21" s="417" t="s">
        <v>164</v>
      </c>
      <c r="M21" s="418"/>
      <c r="N21" s="417" t="s">
        <v>441</v>
      </c>
      <c r="O21" s="427"/>
      <c r="P21" s="427">
        <f>'８－１－３　水稲（加工用米）算出基礎'!G24</f>
        <v>20723.849999999999</v>
      </c>
      <c r="Q21" s="1038"/>
      <c r="R21" s="1039"/>
      <c r="S21" s="1040"/>
    </row>
    <row r="22" spans="1:19" s="100" customFormat="1" ht="14.25" thickBot="1" x14ac:dyDescent="0.2">
      <c r="A22" s="99"/>
      <c r="B22" s="1050"/>
      <c r="C22" s="1077"/>
      <c r="D22" s="1092" t="s">
        <v>66</v>
      </c>
      <c r="E22" s="349" t="s">
        <v>67</v>
      </c>
      <c r="F22" s="412">
        <f>I22*10</f>
        <v>23760</v>
      </c>
      <c r="G22" s="417"/>
      <c r="H22" s="424"/>
      <c r="I22" s="418">
        <v>2376</v>
      </c>
      <c r="J22" s="425" t="s">
        <v>445</v>
      </c>
      <c r="K22" s="1049"/>
      <c r="L22" s="112" t="s">
        <v>29</v>
      </c>
      <c r="M22" s="111"/>
      <c r="N22" s="112"/>
      <c r="O22" s="112"/>
      <c r="P22" s="112">
        <f>SUM(P17:P21)</f>
        <v>139623.85</v>
      </c>
      <c r="Q22" s="1045"/>
      <c r="R22" s="1046"/>
      <c r="S22" s="1047"/>
    </row>
    <row r="23" spans="1:19" s="100" customFormat="1" ht="14.25" thickTop="1" x14ac:dyDescent="0.15">
      <c r="A23" s="99"/>
      <c r="B23" s="1050"/>
      <c r="C23" s="1077"/>
      <c r="D23" s="1092"/>
      <c r="E23" s="349" t="s">
        <v>96</v>
      </c>
      <c r="F23" s="412">
        <f>I23*10</f>
        <v>50000</v>
      </c>
      <c r="G23" s="417"/>
      <c r="H23" s="424"/>
      <c r="I23" s="418">
        <v>5000</v>
      </c>
      <c r="J23" s="425" t="s">
        <v>445</v>
      </c>
      <c r="K23" s="1049"/>
      <c r="L23" s="417" t="s">
        <v>501</v>
      </c>
      <c r="M23" s="418"/>
      <c r="N23" s="431" t="s">
        <v>26</v>
      </c>
      <c r="O23" s="431" t="s">
        <v>24</v>
      </c>
      <c r="P23" s="431" t="s">
        <v>27</v>
      </c>
      <c r="Q23" s="1042" t="s">
        <v>28</v>
      </c>
      <c r="R23" s="1043"/>
      <c r="S23" s="1044"/>
    </row>
    <row r="24" spans="1:19" s="100" customFormat="1" x14ac:dyDescent="0.15">
      <c r="A24" s="99"/>
      <c r="B24" s="1050"/>
      <c r="C24" s="1077"/>
      <c r="D24" s="412" t="s">
        <v>68</v>
      </c>
      <c r="E24" s="420"/>
      <c r="F24" s="412">
        <f>I24*10</f>
        <v>30000</v>
      </c>
      <c r="G24" s="417"/>
      <c r="H24" s="424"/>
      <c r="I24" s="432">
        <v>3000</v>
      </c>
      <c r="J24" s="425" t="s">
        <v>445</v>
      </c>
      <c r="K24" s="1049"/>
      <c r="L24" s="427" t="s">
        <v>30</v>
      </c>
      <c r="M24" s="418"/>
      <c r="N24" s="417" t="s">
        <v>502</v>
      </c>
      <c r="O24" s="427"/>
      <c r="P24" s="427">
        <f>'８－１－３　水稲（加工用米）算出基礎'!G38</f>
        <v>5512.1</v>
      </c>
      <c r="Q24" s="1038"/>
      <c r="R24" s="1039"/>
      <c r="S24" s="1040"/>
    </row>
    <row r="25" spans="1:19" s="100" customFormat="1" x14ac:dyDescent="0.15">
      <c r="A25" s="99"/>
      <c r="B25" s="1050"/>
      <c r="C25" s="1077"/>
      <c r="D25" s="412" t="s">
        <v>159</v>
      </c>
      <c r="E25" s="420"/>
      <c r="F25" s="412">
        <f>SUM(F6:F24)/99</f>
        <v>9015.2279366256225</v>
      </c>
      <c r="G25" s="433" t="s">
        <v>210</v>
      </c>
      <c r="H25" s="434">
        <v>0.01</v>
      </c>
      <c r="I25" s="435"/>
      <c r="J25" s="436"/>
      <c r="K25" s="1049"/>
      <c r="L25" s="427" t="s">
        <v>31</v>
      </c>
      <c r="M25" s="418"/>
      <c r="N25" s="417" t="s">
        <v>503</v>
      </c>
      <c r="O25" s="427"/>
      <c r="P25" s="427">
        <f>'８－１－３　水稲（加工用米）算出基礎'!G49</f>
        <v>4975</v>
      </c>
      <c r="Q25" s="1038"/>
      <c r="R25" s="1039"/>
      <c r="S25" s="1040"/>
    </row>
    <row r="26" spans="1:19" s="100" customFormat="1" x14ac:dyDescent="0.15">
      <c r="A26" s="99"/>
      <c r="B26" s="1050"/>
      <c r="C26" s="1078"/>
      <c r="D26" s="1100" t="s">
        <v>504</v>
      </c>
      <c r="E26" s="1101"/>
      <c r="F26" s="437">
        <f>SUM(F6:F25)</f>
        <v>901522.79366256227</v>
      </c>
      <c r="G26" s="438"/>
      <c r="H26" s="435"/>
      <c r="I26" s="435"/>
      <c r="J26" s="439"/>
      <c r="K26" s="1049"/>
      <c r="L26" s="427" t="s">
        <v>32</v>
      </c>
      <c r="M26" s="418"/>
      <c r="N26" s="417" t="s">
        <v>441</v>
      </c>
      <c r="O26" s="427"/>
      <c r="P26" s="427">
        <f>'８－１－３　水稲（加工用米）算出基礎'!G53</f>
        <v>24330</v>
      </c>
      <c r="Q26" s="1038"/>
      <c r="R26" s="1039"/>
      <c r="S26" s="1040"/>
    </row>
    <row r="27" spans="1:19" s="100" customFormat="1" x14ac:dyDescent="0.15">
      <c r="A27" s="99"/>
      <c r="B27" s="1050"/>
      <c r="C27" s="1093" t="s">
        <v>187</v>
      </c>
      <c r="D27" s="1096" t="s">
        <v>69</v>
      </c>
      <c r="E27" s="17" t="s">
        <v>3</v>
      </c>
      <c r="F27" s="422">
        <f>P11/30*J27</f>
        <v>16000</v>
      </c>
      <c r="G27" s="253"/>
      <c r="H27" s="418"/>
      <c r="I27" s="110" t="s">
        <v>451</v>
      </c>
      <c r="J27" s="440">
        <v>80</v>
      </c>
      <c r="K27" s="1049"/>
      <c r="L27" s="427" t="s">
        <v>416</v>
      </c>
      <c r="M27" s="418"/>
      <c r="N27" s="417" t="s">
        <v>503</v>
      </c>
      <c r="O27" s="427"/>
      <c r="P27" s="427">
        <f>'８－１－３　水稲（加工用米）算出基礎'!G57</f>
        <v>37268.5</v>
      </c>
      <c r="Q27" s="1038"/>
      <c r="R27" s="1039"/>
      <c r="S27" s="1040"/>
    </row>
    <row r="28" spans="1:19" s="100" customFormat="1" ht="14.25" thickBot="1" x14ac:dyDescent="0.2">
      <c r="A28" s="99"/>
      <c r="B28" s="1050"/>
      <c r="C28" s="1094"/>
      <c r="D28" s="919"/>
      <c r="E28" s="17" t="s">
        <v>4</v>
      </c>
      <c r="F28" s="441">
        <v>0</v>
      </c>
      <c r="G28" s="253"/>
      <c r="H28" s="442"/>
      <c r="I28" s="442"/>
      <c r="J28" s="443"/>
      <c r="K28" s="1049"/>
      <c r="L28" s="112" t="s">
        <v>29</v>
      </c>
      <c r="M28" s="111"/>
      <c r="N28" s="112"/>
      <c r="O28" s="112"/>
      <c r="P28" s="112">
        <f>SUM(P24:P27)</f>
        <v>72085.600000000006</v>
      </c>
      <c r="Q28" s="1045"/>
      <c r="R28" s="1046"/>
      <c r="S28" s="1047"/>
    </row>
    <row r="29" spans="1:19" s="100" customFormat="1" ht="14.25" thickTop="1" x14ac:dyDescent="0.15">
      <c r="A29" s="99"/>
      <c r="B29" s="1050"/>
      <c r="C29" s="1094"/>
      <c r="D29" s="1097"/>
      <c r="E29" s="17" t="s">
        <v>8</v>
      </c>
      <c r="F29" s="422">
        <f>P11/30*J29</f>
        <v>5000</v>
      </c>
      <c r="G29" s="253"/>
      <c r="H29" s="413"/>
      <c r="I29" s="442" t="s">
        <v>452</v>
      </c>
      <c r="J29" s="444">
        <v>25</v>
      </c>
      <c r="K29" s="1049"/>
      <c r="L29" s="417" t="s">
        <v>505</v>
      </c>
      <c r="M29" s="418"/>
      <c r="N29" s="431" t="s">
        <v>26</v>
      </c>
      <c r="O29" s="431" t="s">
        <v>24</v>
      </c>
      <c r="P29" s="431" t="s">
        <v>27</v>
      </c>
      <c r="Q29" s="1042" t="s">
        <v>28</v>
      </c>
      <c r="R29" s="1043"/>
      <c r="S29" s="1044"/>
    </row>
    <row r="30" spans="1:19" s="100" customFormat="1" x14ac:dyDescent="0.15">
      <c r="A30" s="99"/>
      <c r="B30" s="1050"/>
      <c r="C30" s="1094"/>
      <c r="D30" s="17" t="s">
        <v>70</v>
      </c>
      <c r="E30" s="18"/>
      <c r="F30" s="422">
        <v>0</v>
      </c>
      <c r="G30" s="1027" t="s">
        <v>189</v>
      </c>
      <c r="H30" s="1028"/>
      <c r="I30" s="1028"/>
      <c r="J30" s="1029"/>
      <c r="K30" s="1049"/>
      <c r="L30" s="427" t="s">
        <v>506</v>
      </c>
      <c r="M30" s="446"/>
      <c r="N30" s="417" t="s">
        <v>455</v>
      </c>
      <c r="O30" s="426"/>
      <c r="P30" s="427">
        <f>'８－１－３　水稲（加工用米）算出基礎'!N12</f>
        <v>14054.271000000001</v>
      </c>
      <c r="Q30" s="1060"/>
      <c r="R30" s="1061"/>
      <c r="S30" s="1062"/>
    </row>
    <row r="31" spans="1:19" s="100" customFormat="1" x14ac:dyDescent="0.15">
      <c r="A31" s="99"/>
      <c r="B31" s="1050"/>
      <c r="C31" s="1094"/>
      <c r="D31" s="932" t="s">
        <v>248</v>
      </c>
      <c r="E31" s="348" t="s">
        <v>130</v>
      </c>
      <c r="F31" s="441">
        <v>0</v>
      </c>
      <c r="G31" s="1027" t="s">
        <v>189</v>
      </c>
      <c r="H31" s="1028"/>
      <c r="I31" s="1028"/>
      <c r="J31" s="1029"/>
      <c r="K31" s="1049"/>
      <c r="L31" s="427" t="s">
        <v>507</v>
      </c>
      <c r="M31" s="446"/>
      <c r="N31" s="417" t="s">
        <v>293</v>
      </c>
      <c r="O31" s="426"/>
      <c r="P31" s="427">
        <f>'８－１－３　水稲（加工用米）算出基礎'!N16</f>
        <v>1453.1615999999999</v>
      </c>
      <c r="Q31" s="1060"/>
      <c r="R31" s="1061"/>
      <c r="S31" s="1062"/>
    </row>
    <row r="32" spans="1:19" s="100" customFormat="1" x14ac:dyDescent="0.15">
      <c r="A32" s="99"/>
      <c r="B32" s="1050"/>
      <c r="C32" s="1094"/>
      <c r="D32" s="932"/>
      <c r="E32" s="348" t="s">
        <v>508</v>
      </c>
      <c r="F32" s="441">
        <v>0</v>
      </c>
      <c r="G32" s="1027" t="s">
        <v>189</v>
      </c>
      <c r="H32" s="1028"/>
      <c r="I32" s="1028"/>
      <c r="J32" s="1029"/>
      <c r="K32" s="1049"/>
      <c r="L32" s="427" t="s">
        <v>509</v>
      </c>
      <c r="M32" s="418"/>
      <c r="N32" s="426"/>
      <c r="O32" s="426"/>
      <c r="P32" s="427">
        <f>SUM(P30:P31)*R32</f>
        <v>4652.2297799999997</v>
      </c>
      <c r="Q32" s="451" t="s">
        <v>510</v>
      </c>
      <c r="R32" s="452">
        <v>0.3</v>
      </c>
      <c r="S32" s="453"/>
    </row>
    <row r="33" spans="1:23" ht="18" customHeight="1" x14ac:dyDescent="0.15">
      <c r="B33" s="1050"/>
      <c r="C33" s="1094"/>
      <c r="D33" s="17" t="s">
        <v>71</v>
      </c>
      <c r="E33" s="27"/>
      <c r="F33" s="441">
        <v>0</v>
      </c>
      <c r="G33" s="1027" t="s">
        <v>189</v>
      </c>
      <c r="H33" s="1028"/>
      <c r="I33" s="1028"/>
      <c r="J33" s="1029"/>
      <c r="K33" s="1049"/>
      <c r="L33" s="427" t="s">
        <v>511</v>
      </c>
      <c r="M33" s="446"/>
      <c r="N33" s="417"/>
      <c r="O33" s="426"/>
      <c r="P33" s="427">
        <f>'８－１－３　水稲（加工用米）算出基礎'!N20</f>
        <v>0</v>
      </c>
      <c r="Q33" s="1038"/>
      <c r="R33" s="1039"/>
      <c r="S33" s="1040"/>
    </row>
    <row r="34" spans="1:23" ht="18" customHeight="1" x14ac:dyDescent="0.15">
      <c r="B34" s="1050"/>
      <c r="C34" s="1094"/>
      <c r="D34" s="17" t="s">
        <v>97</v>
      </c>
      <c r="E34" s="27"/>
      <c r="F34" s="441">
        <v>0</v>
      </c>
      <c r="G34" s="1027" t="s">
        <v>189</v>
      </c>
      <c r="H34" s="1028"/>
      <c r="I34" s="1028"/>
      <c r="J34" s="1029"/>
      <c r="K34" s="1049"/>
      <c r="L34" s="427" t="s">
        <v>512</v>
      </c>
      <c r="M34" s="446"/>
      <c r="N34" s="417" t="s">
        <v>293</v>
      </c>
      <c r="O34" s="426"/>
      <c r="P34" s="427">
        <f>'８－１－３　水稲（加工用米）算出基礎'!N24</f>
        <v>17563.241999999998</v>
      </c>
      <c r="Q34" s="1038"/>
      <c r="R34" s="1039"/>
      <c r="S34" s="1040"/>
    </row>
    <row r="35" spans="1:23" ht="18" customHeight="1" x14ac:dyDescent="0.15">
      <c r="B35" s="1050"/>
      <c r="C35" s="1094"/>
      <c r="D35" s="17" t="s">
        <v>133</v>
      </c>
      <c r="E35" s="18"/>
      <c r="F35" s="441">
        <f>'８－１－３　水稲（加工用米）算出基礎'!V57</f>
        <v>8779.6296296296296</v>
      </c>
      <c r="G35" s="1030" t="s">
        <v>611</v>
      </c>
      <c r="H35" s="1031"/>
      <c r="I35" s="1031"/>
      <c r="J35" s="1032"/>
      <c r="K35" s="1049"/>
      <c r="L35" s="427" t="s">
        <v>245</v>
      </c>
      <c r="M35" s="446"/>
      <c r="N35" s="417"/>
      <c r="O35" s="426"/>
      <c r="P35" s="427">
        <f>'８－１－３　水稲（加工用米）算出基礎'!N28</f>
        <v>0</v>
      </c>
      <c r="Q35" s="1038"/>
      <c r="R35" s="1039"/>
      <c r="S35" s="1040"/>
    </row>
    <row r="36" spans="1:23" ht="18" customHeight="1" x14ac:dyDescent="0.15">
      <c r="B36" s="1050"/>
      <c r="C36" s="1094"/>
      <c r="D36" s="36" t="s">
        <v>98</v>
      </c>
      <c r="E36" s="37"/>
      <c r="F36" s="459">
        <v>0</v>
      </c>
      <c r="G36" s="417"/>
      <c r="H36" s="456"/>
      <c r="I36" s="457"/>
      <c r="J36" s="445"/>
      <c r="K36" s="1049"/>
      <c r="L36" s="427" t="s">
        <v>513</v>
      </c>
      <c r="M36" s="418"/>
      <c r="N36" s="417" t="s">
        <v>462</v>
      </c>
      <c r="O36" s="426"/>
      <c r="P36" s="427">
        <f>'８－１－３　水稲（加工用米）算出基礎'!N32</f>
        <v>3811.2200000000003</v>
      </c>
      <c r="Q36" s="1038"/>
      <c r="R36" s="1039"/>
      <c r="S36" s="1040"/>
    </row>
    <row r="37" spans="1:23" ht="18" customHeight="1" thickBot="1" x14ac:dyDescent="0.2">
      <c r="B37" s="1050"/>
      <c r="C37" s="1094"/>
      <c r="D37" s="17" t="s">
        <v>72</v>
      </c>
      <c r="E37" s="18"/>
      <c r="F37" s="441">
        <f>'８－１－３　水稲（加工用米）算出基礎'!N57</f>
        <v>4646.0648148148148</v>
      </c>
      <c r="G37" s="1030" t="s">
        <v>611</v>
      </c>
      <c r="H37" s="1031"/>
      <c r="I37" s="1031"/>
      <c r="J37" s="1032"/>
      <c r="K37" s="1051"/>
      <c r="L37" s="123" t="s">
        <v>29</v>
      </c>
      <c r="M37" s="122"/>
      <c r="N37" s="123"/>
      <c r="O37" s="123"/>
      <c r="P37" s="123">
        <f>SUM(P30:P36)</f>
        <v>41534.124380000001</v>
      </c>
      <c r="Q37" s="1057"/>
      <c r="R37" s="1058"/>
      <c r="S37" s="1059"/>
    </row>
    <row r="38" spans="1:23" s="117" customFormat="1" ht="18" customHeight="1" x14ac:dyDescent="0.15">
      <c r="A38" s="99"/>
      <c r="B38" s="1050"/>
      <c r="C38" s="1094"/>
      <c r="D38" s="17" t="s">
        <v>0</v>
      </c>
      <c r="E38" s="27"/>
      <c r="F38" s="441">
        <v>0</v>
      </c>
      <c r="G38" s="1103" t="s">
        <v>189</v>
      </c>
      <c r="H38" s="1104"/>
      <c r="I38" s="1104"/>
      <c r="J38" s="1121"/>
    </row>
    <row r="39" spans="1:23" s="117" customFormat="1" ht="18" customHeight="1" thickBot="1" x14ac:dyDescent="0.2">
      <c r="A39" s="99"/>
      <c r="B39" s="1080"/>
      <c r="C39" s="1095"/>
      <c r="D39" s="1098" t="s">
        <v>200</v>
      </c>
      <c r="E39" s="1099"/>
      <c r="F39" s="169">
        <f>SUM(F27:F38)</f>
        <v>34425.694444444445</v>
      </c>
      <c r="G39" s="170"/>
      <c r="H39" s="171"/>
      <c r="I39" s="172"/>
      <c r="J39" s="173"/>
      <c r="T39" s="118"/>
    </row>
    <row r="40" spans="1:23" s="117" customFormat="1" ht="18" customHeight="1" x14ac:dyDescent="0.15">
      <c r="A40" s="99"/>
      <c r="B40" s="1081" t="s">
        <v>204</v>
      </c>
      <c r="C40" s="1084" t="s">
        <v>74</v>
      </c>
      <c r="D40" s="164" t="s">
        <v>132</v>
      </c>
      <c r="E40" s="165"/>
      <c r="F40" s="464">
        <f>J40*10</f>
        <v>470000</v>
      </c>
      <c r="G40" s="417"/>
      <c r="H40" s="465"/>
      <c r="I40" s="465" t="s">
        <v>514</v>
      </c>
      <c r="J40" s="467">
        <v>47000</v>
      </c>
      <c r="T40" s="100"/>
      <c r="U40" s="100"/>
      <c r="V40" s="100"/>
      <c r="W40" s="100"/>
    </row>
    <row r="41" spans="1:23" s="117" customFormat="1" ht="18" customHeight="1" x14ac:dyDescent="0.15">
      <c r="A41" s="99"/>
      <c r="B41" s="1082"/>
      <c r="C41" s="1085"/>
      <c r="D41" s="17" t="s">
        <v>131</v>
      </c>
      <c r="E41" s="18"/>
      <c r="F41" s="158">
        <v>0</v>
      </c>
      <c r="G41" s="417"/>
      <c r="H41" s="124"/>
      <c r="I41" s="124"/>
      <c r="J41" s="178"/>
      <c r="T41" s="119"/>
      <c r="U41" s="120"/>
      <c r="V41" s="121"/>
      <c r="W41" s="119"/>
    </row>
    <row r="42" spans="1:23" s="117" customFormat="1" ht="18" customHeight="1" x14ac:dyDescent="0.15">
      <c r="A42" s="99"/>
      <c r="B42" s="1082"/>
      <c r="C42" s="1086"/>
      <c r="D42" s="36" t="s">
        <v>73</v>
      </c>
      <c r="E42" s="18"/>
      <c r="F42" s="159">
        <v>0</v>
      </c>
      <c r="G42" s="417"/>
      <c r="H42" s="124"/>
      <c r="I42" s="124"/>
      <c r="J42" s="178"/>
      <c r="T42" s="100"/>
      <c r="U42" s="100"/>
      <c r="V42" s="100"/>
      <c r="W42" s="100"/>
    </row>
    <row r="43" spans="1:23" s="117" customFormat="1" ht="18" customHeight="1" x14ac:dyDescent="0.15">
      <c r="B43" s="1082"/>
      <c r="C43" s="1087" t="s">
        <v>515</v>
      </c>
      <c r="D43" s="36" t="s">
        <v>249</v>
      </c>
      <c r="E43" s="37"/>
      <c r="F43" s="159">
        <v>0</v>
      </c>
      <c r="G43" s="417"/>
      <c r="H43" s="124"/>
      <c r="I43" s="124"/>
      <c r="J43" s="178"/>
      <c r="T43" s="101"/>
      <c r="U43" s="118"/>
      <c r="V43" s="100"/>
      <c r="W43" s="119"/>
    </row>
    <row r="44" spans="1:23" s="117" customFormat="1" ht="18" customHeight="1" x14ac:dyDescent="0.15">
      <c r="B44" s="1082"/>
      <c r="C44" s="1088"/>
      <c r="D44" s="38" t="s">
        <v>1</v>
      </c>
      <c r="E44" s="39"/>
      <c r="F44" s="159">
        <v>0</v>
      </c>
      <c r="G44" s="417"/>
      <c r="H44" s="124"/>
      <c r="I44" s="124"/>
      <c r="J44" s="178"/>
      <c r="T44" s="101"/>
      <c r="U44" s="118"/>
      <c r="V44" s="100"/>
      <c r="W44" s="119"/>
    </row>
    <row r="45" spans="1:23" s="117" customFormat="1" ht="18" customHeight="1" thickBot="1" x14ac:dyDescent="0.2">
      <c r="B45" s="1083"/>
      <c r="C45" s="1089" t="s">
        <v>100</v>
      </c>
      <c r="D45" s="1090"/>
      <c r="E45" s="1091"/>
      <c r="F45" s="160">
        <f>SUM(F40:F42)-SUM(F43:F44)</f>
        <v>470000</v>
      </c>
      <c r="G45" s="125"/>
      <c r="H45" s="126"/>
      <c r="I45" s="126"/>
      <c r="J45" s="179"/>
      <c r="T45" s="100"/>
      <c r="U45" s="100"/>
      <c r="V45" s="120"/>
      <c r="W45" s="100"/>
    </row>
    <row r="49" spans="4:6" x14ac:dyDescent="0.15">
      <c r="D49" s="636" t="s">
        <v>465</v>
      </c>
      <c r="E49" s="636"/>
      <c r="F49" s="636">
        <f>F4-F26</f>
        <v>-103522.79366256227</v>
      </c>
    </row>
  </sheetData>
  <mergeCells count="70">
    <mergeCell ref="B40:B45"/>
    <mergeCell ref="C40:C42"/>
    <mergeCell ref="C43:C44"/>
    <mergeCell ref="C45:E45"/>
    <mergeCell ref="B6:B39"/>
    <mergeCell ref="D26:E26"/>
    <mergeCell ref="D13:D14"/>
    <mergeCell ref="D18:D21"/>
    <mergeCell ref="C6:C26"/>
    <mergeCell ref="C27:C39"/>
    <mergeCell ref="D27:D29"/>
    <mergeCell ref="D31:D32"/>
    <mergeCell ref="D22:D23"/>
    <mergeCell ref="R6:S6"/>
    <mergeCell ref="R7:S7"/>
    <mergeCell ref="Q36:S36"/>
    <mergeCell ref="Q13:S13"/>
    <mergeCell ref="I14:J14"/>
    <mergeCell ref="R8:S8"/>
    <mergeCell ref="Q34:S34"/>
    <mergeCell ref="G35:J35"/>
    <mergeCell ref="Q35:S35"/>
    <mergeCell ref="Q22:S22"/>
    <mergeCell ref="Q23:S23"/>
    <mergeCell ref="Q27:S27"/>
    <mergeCell ref="Q28:S28"/>
    <mergeCell ref="Q29:S29"/>
    <mergeCell ref="Q30:S30"/>
    <mergeCell ref="Q31:S31"/>
    <mergeCell ref="Q33:S33"/>
    <mergeCell ref="Q37:S37"/>
    <mergeCell ref="D39:E39"/>
    <mergeCell ref="Q14:S14"/>
    <mergeCell ref="D15:D17"/>
    <mergeCell ref="Q15:S15"/>
    <mergeCell ref="Q16:S16"/>
    <mergeCell ref="Q17:S17"/>
    <mergeCell ref="K12:K37"/>
    <mergeCell ref="Q12:S12"/>
    <mergeCell ref="Q24:S24"/>
    <mergeCell ref="Q25:S25"/>
    <mergeCell ref="Q18:S18"/>
    <mergeCell ref="Q19:S19"/>
    <mergeCell ref="Q20:S20"/>
    <mergeCell ref="Q21:S21"/>
    <mergeCell ref="Q26:S26"/>
    <mergeCell ref="R9:S9"/>
    <mergeCell ref="G10:J10"/>
    <mergeCell ref="R10:S10"/>
    <mergeCell ref="G11:J11"/>
    <mergeCell ref="R11:S11"/>
    <mergeCell ref="B3:E3"/>
    <mergeCell ref="K3:S3"/>
    <mergeCell ref="B4:C5"/>
    <mergeCell ref="R4:S4"/>
    <mergeCell ref="R5:S5"/>
    <mergeCell ref="G7:J7"/>
    <mergeCell ref="G8:J8"/>
    <mergeCell ref="G9:J9"/>
    <mergeCell ref="G15:J15"/>
    <mergeCell ref="G16:J16"/>
    <mergeCell ref="I13:J13"/>
    <mergeCell ref="G38:J38"/>
    <mergeCell ref="G17:J17"/>
    <mergeCell ref="G30:J30"/>
    <mergeCell ref="G31:J31"/>
    <mergeCell ref="G32:J32"/>
    <mergeCell ref="G33:J33"/>
    <mergeCell ref="G37:J37"/>
    <mergeCell ref="G34:J34"/>
  </mergeCells>
  <phoneticPr fontId="4"/>
  <pageMargins left="0.7" right="0.7" top="0.75" bottom="0.75" header="0.3" footer="0.3"/>
  <pageSetup paperSize="9"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zoomScaleSheetLayoutView="80" workbookViewId="0"/>
  </sheetViews>
  <sheetFormatPr defaultColWidth="10.875" defaultRowHeight="13.5" x14ac:dyDescent="0.15"/>
  <cols>
    <col min="1" max="1" width="1.625" style="99" customWidth="1"/>
    <col min="2" max="2" width="5.875" style="99" customWidth="1"/>
    <col min="3" max="3" width="10.625" style="99" customWidth="1"/>
    <col min="4" max="4" width="12.375" style="99" customWidth="1"/>
    <col min="5" max="5" width="14.625" style="99" customWidth="1"/>
    <col min="6" max="7" width="15.875" style="99" customWidth="1"/>
    <col min="8" max="8" width="10.875" style="99"/>
    <col min="9" max="9" width="11.375" style="99" bestFit="1" customWidth="1"/>
    <col min="10" max="10" width="13.375" style="99" customWidth="1"/>
    <col min="11" max="11" width="7.125" style="99" customWidth="1"/>
    <col min="12" max="12" width="15.375" style="99" customWidth="1"/>
    <col min="13" max="13" width="9.375" style="99" bestFit="1" customWidth="1"/>
    <col min="14" max="14" width="10.875" style="99"/>
    <col min="15" max="15" width="7.25" style="99" customWidth="1"/>
    <col min="16" max="16" width="9.625" style="99" customWidth="1"/>
    <col min="17" max="17" width="10.875" style="99" customWidth="1"/>
    <col min="18" max="18" width="7.5" style="99" customWidth="1"/>
    <col min="19" max="19" width="3.75" style="99" customWidth="1"/>
    <col min="20" max="16384" width="10.875" style="99"/>
  </cols>
  <sheetData>
    <row r="1" spans="2:19" s="100" customFormat="1" ht="9.9499999999999993" customHeight="1" x14ac:dyDescent="0.15">
      <c r="B1" s="99"/>
      <c r="C1" s="99"/>
      <c r="D1" s="99"/>
      <c r="E1" s="99"/>
      <c r="F1" s="99"/>
      <c r="G1" s="99"/>
      <c r="H1" s="99"/>
      <c r="I1" s="99"/>
      <c r="J1" s="99"/>
      <c r="K1" s="99"/>
      <c r="L1" s="99"/>
      <c r="M1" s="99"/>
      <c r="N1" s="99"/>
      <c r="O1" s="99"/>
      <c r="P1" s="99"/>
      <c r="Q1" s="99"/>
      <c r="R1" s="99"/>
      <c r="S1" s="99"/>
    </row>
    <row r="2" spans="2:19" s="100" customFormat="1" ht="24.95" customHeight="1" thickBot="1" x14ac:dyDescent="0.2">
      <c r="B2" s="2" t="s">
        <v>368</v>
      </c>
      <c r="H2" s="101" t="s">
        <v>237</v>
      </c>
      <c r="I2" s="2" t="s">
        <v>369</v>
      </c>
      <c r="K2" s="101" t="s">
        <v>238</v>
      </c>
      <c r="L2" s="2" t="s">
        <v>627</v>
      </c>
      <c r="N2" s="99"/>
      <c r="O2" s="99"/>
      <c r="Q2" s="3"/>
      <c r="R2" s="3"/>
    </row>
    <row r="3" spans="2:19" s="100" customFormat="1" ht="18" customHeight="1" x14ac:dyDescent="0.15">
      <c r="B3" s="1154" t="s">
        <v>20</v>
      </c>
      <c r="C3" s="1155"/>
      <c r="D3" s="1155"/>
      <c r="E3" s="1156"/>
      <c r="F3" s="129" t="s">
        <v>21</v>
      </c>
      <c r="G3" s="103"/>
      <c r="H3" s="104" t="s">
        <v>22</v>
      </c>
      <c r="I3" s="102"/>
      <c r="J3" s="102"/>
      <c r="K3" s="1157" t="s">
        <v>209</v>
      </c>
      <c r="L3" s="1158"/>
      <c r="M3" s="1158"/>
      <c r="N3" s="1158"/>
      <c r="O3" s="1158"/>
      <c r="P3" s="1158"/>
      <c r="Q3" s="1158"/>
      <c r="R3" s="1158"/>
      <c r="S3" s="1159"/>
    </row>
    <row r="4" spans="2:19" s="100" customFormat="1" ht="18" customHeight="1" x14ac:dyDescent="0.15">
      <c r="B4" s="1071" t="s">
        <v>23</v>
      </c>
      <c r="C4" s="1072"/>
      <c r="D4" s="192" t="s">
        <v>202</v>
      </c>
      <c r="E4" s="206"/>
      <c r="F4" s="200">
        <f>+R11</f>
        <v>25606000</v>
      </c>
      <c r="G4" s="1027" t="s">
        <v>713</v>
      </c>
      <c r="H4" s="1028"/>
      <c r="I4" s="1028"/>
      <c r="J4" s="1029"/>
      <c r="K4" s="197" t="s">
        <v>57</v>
      </c>
      <c r="L4" s="260" t="s">
        <v>242</v>
      </c>
      <c r="M4" s="198" t="s">
        <v>24</v>
      </c>
      <c r="N4" s="198" t="s">
        <v>23</v>
      </c>
      <c r="O4" s="198" t="s">
        <v>57</v>
      </c>
      <c r="P4" s="260" t="s">
        <v>243</v>
      </c>
      <c r="Q4" s="198" t="s">
        <v>24</v>
      </c>
      <c r="R4" s="1160" t="s">
        <v>23</v>
      </c>
      <c r="S4" s="1161"/>
    </row>
    <row r="5" spans="2:19" s="100" customFormat="1" ht="18" customHeight="1" x14ac:dyDescent="0.15">
      <c r="B5" s="1071"/>
      <c r="C5" s="1072"/>
      <c r="D5" s="192" t="s">
        <v>93</v>
      </c>
      <c r="E5" s="206"/>
      <c r="F5" s="200">
        <v>0</v>
      </c>
      <c r="G5" s="161"/>
      <c r="H5" s="207"/>
      <c r="I5" s="207"/>
      <c r="J5" s="207"/>
      <c r="K5" s="256">
        <v>3</v>
      </c>
      <c r="L5" s="308">
        <v>1000</v>
      </c>
      <c r="M5" s="312">
        <f>+'９　アスパラガス単価算出基礎'!E11</f>
        <v>1048.5999999999999</v>
      </c>
      <c r="N5" s="313">
        <f>L5*M5</f>
        <v>1048600</v>
      </c>
      <c r="O5" s="202">
        <v>10</v>
      </c>
      <c r="P5" s="314">
        <v>1000</v>
      </c>
      <c r="Q5" s="202">
        <f>'９　アスパラガス単価算出基礎'!L11</f>
        <v>1039.2</v>
      </c>
      <c r="R5" s="1041">
        <f>P5*Q5</f>
        <v>1039200</v>
      </c>
      <c r="S5" s="1032"/>
    </row>
    <row r="6" spans="2:19" s="100" customFormat="1" ht="18" customHeight="1" x14ac:dyDescent="0.15">
      <c r="B6" s="1079" t="s">
        <v>207</v>
      </c>
      <c r="C6" s="1076" t="s">
        <v>193</v>
      </c>
      <c r="D6" s="200" t="s">
        <v>60</v>
      </c>
      <c r="E6" s="208"/>
      <c r="F6" s="200">
        <f>+P13</f>
        <v>0</v>
      </c>
      <c r="G6" s="161" t="s">
        <v>185</v>
      </c>
      <c r="H6" s="207"/>
      <c r="I6" s="207"/>
      <c r="J6" s="207"/>
      <c r="K6" s="205">
        <v>4</v>
      </c>
      <c r="L6" s="203">
        <v>4500</v>
      </c>
      <c r="M6" s="308">
        <f>'９　アスパラガス単価算出基礎'!F11</f>
        <v>1403.4</v>
      </c>
      <c r="N6" s="313">
        <f t="shared" ref="N6:N11" si="0">L6*M6</f>
        <v>6315300</v>
      </c>
      <c r="O6" s="202"/>
      <c r="P6" s="308"/>
      <c r="Q6" s="308"/>
      <c r="R6" s="1137">
        <f t="shared" ref="R6:R9" si="1">P6*Q6</f>
        <v>0</v>
      </c>
      <c r="S6" s="1138"/>
    </row>
    <row r="7" spans="2:19" s="100" customFormat="1" ht="18" customHeight="1" x14ac:dyDescent="0.15">
      <c r="B7" s="1050"/>
      <c r="C7" s="1077"/>
      <c r="D7" s="200" t="s">
        <v>61</v>
      </c>
      <c r="E7" s="208"/>
      <c r="F7" s="200">
        <f>P22</f>
        <v>702600</v>
      </c>
      <c r="G7" s="1027" t="s">
        <v>305</v>
      </c>
      <c r="H7" s="1028"/>
      <c r="I7" s="1028"/>
      <c r="J7" s="1029"/>
      <c r="K7" s="204">
        <v>5</v>
      </c>
      <c r="L7" s="277">
        <v>3500</v>
      </c>
      <c r="M7" s="308">
        <f>'９　アスパラガス単価算出基礎'!G11</f>
        <v>1291.8</v>
      </c>
      <c r="N7" s="313">
        <f t="shared" si="0"/>
        <v>4521300</v>
      </c>
      <c r="O7" s="202"/>
      <c r="P7" s="308"/>
      <c r="Q7" s="308"/>
      <c r="R7" s="1137">
        <f t="shared" si="1"/>
        <v>0</v>
      </c>
      <c r="S7" s="1138"/>
    </row>
    <row r="8" spans="2:19" s="100" customFormat="1" ht="18" customHeight="1" x14ac:dyDescent="0.15">
      <c r="B8" s="1050"/>
      <c r="C8" s="1077"/>
      <c r="D8" s="200" t="s">
        <v>62</v>
      </c>
      <c r="E8" s="208"/>
      <c r="F8" s="200">
        <f>P28</f>
        <v>376156.2</v>
      </c>
      <c r="G8" s="674" t="s">
        <v>306</v>
      </c>
      <c r="H8" s="675"/>
      <c r="I8" s="675"/>
      <c r="J8" s="676"/>
      <c r="K8" s="202">
        <v>6</v>
      </c>
      <c r="L8" s="308">
        <v>2500</v>
      </c>
      <c r="M8" s="308">
        <f>'９　アスパラガス単価算出基礎'!H11</f>
        <v>1073</v>
      </c>
      <c r="N8" s="313">
        <f t="shared" si="0"/>
        <v>2682500</v>
      </c>
      <c r="O8" s="202"/>
      <c r="P8" s="308"/>
      <c r="Q8" s="308"/>
      <c r="R8" s="1137">
        <f t="shared" si="1"/>
        <v>0</v>
      </c>
      <c r="S8" s="1138"/>
    </row>
    <row r="9" spans="2:19" s="100" customFormat="1" ht="18" customHeight="1" x14ac:dyDescent="0.15">
      <c r="B9" s="1050"/>
      <c r="C9" s="1077"/>
      <c r="D9" s="200" t="s">
        <v>94</v>
      </c>
      <c r="E9" s="208"/>
      <c r="F9" s="200">
        <f>P37</f>
        <v>205773.15999999997</v>
      </c>
      <c r="G9" s="677" t="s">
        <v>307</v>
      </c>
      <c r="H9" s="678"/>
      <c r="I9" s="678"/>
      <c r="J9" s="679"/>
      <c r="K9" s="199">
        <v>7</v>
      </c>
      <c r="L9" s="308">
        <v>5000</v>
      </c>
      <c r="M9" s="308">
        <f>'９　アスパラガス単価算出基礎'!I11</f>
        <v>826.4</v>
      </c>
      <c r="N9" s="313">
        <f t="shared" si="0"/>
        <v>4132000</v>
      </c>
      <c r="O9" s="202"/>
      <c r="P9" s="308"/>
      <c r="Q9" s="308"/>
      <c r="R9" s="1137">
        <f t="shared" si="1"/>
        <v>0</v>
      </c>
      <c r="S9" s="1138"/>
    </row>
    <row r="10" spans="2:19" s="100" customFormat="1" ht="18" customHeight="1" x14ac:dyDescent="0.15">
      <c r="B10" s="1050"/>
      <c r="C10" s="1077"/>
      <c r="D10" s="200" t="s">
        <v>63</v>
      </c>
      <c r="E10" s="208"/>
      <c r="F10" s="200">
        <f>'８－２　ハウスアスパラガス算出基礎'!V19</f>
        <v>679460.60606060608</v>
      </c>
      <c r="G10" s="1126" t="s">
        <v>304</v>
      </c>
      <c r="H10" s="1127"/>
      <c r="I10" s="1127"/>
      <c r="J10" s="1128"/>
      <c r="K10" s="199">
        <v>8</v>
      </c>
      <c r="L10" s="308">
        <v>4500</v>
      </c>
      <c r="M10" s="308">
        <f>'９　アスパラガス単価算出基礎'!J11</f>
        <v>701.8</v>
      </c>
      <c r="N10" s="313">
        <f t="shared" si="0"/>
        <v>3158100</v>
      </c>
      <c r="O10" s="202"/>
      <c r="P10" s="308"/>
      <c r="Q10" s="308"/>
      <c r="R10" s="1041"/>
      <c r="S10" s="1032"/>
    </row>
    <row r="11" spans="2:19" s="100" customFormat="1" ht="18" customHeight="1" thickBot="1" x14ac:dyDescent="0.2">
      <c r="B11" s="1050"/>
      <c r="C11" s="1077"/>
      <c r="D11" s="200" t="s">
        <v>6</v>
      </c>
      <c r="E11" s="208"/>
      <c r="F11" s="200">
        <f>'８－２　ハウスアスパラガス算出基礎'!V33</f>
        <v>17726.464646464647</v>
      </c>
      <c r="G11" s="1126" t="s">
        <v>304</v>
      </c>
      <c r="H11" s="1127"/>
      <c r="I11" s="1127"/>
      <c r="J11" s="1128"/>
      <c r="K11" s="315">
        <v>9</v>
      </c>
      <c r="L11" s="316">
        <v>3000</v>
      </c>
      <c r="M11" s="317">
        <f>'９　アスパラガス単価算出基礎'!K11</f>
        <v>903</v>
      </c>
      <c r="N11" s="318">
        <f t="shared" si="0"/>
        <v>2709000</v>
      </c>
      <c r="O11" s="319" t="s">
        <v>25</v>
      </c>
      <c r="P11" s="108">
        <f>SUM(L5:L11,P5:P10)</f>
        <v>25000</v>
      </c>
      <c r="Q11" s="109">
        <f>R11/P11</f>
        <v>1024.24</v>
      </c>
      <c r="R11" s="1152">
        <f>SUM(N5:N11,R5:S10)</f>
        <v>25606000</v>
      </c>
      <c r="S11" s="1153"/>
    </row>
    <row r="12" spans="2:19" s="100" customFormat="1" ht="18" customHeight="1" thickTop="1" x14ac:dyDescent="0.15">
      <c r="B12" s="1050"/>
      <c r="C12" s="1077"/>
      <c r="D12" s="200" t="s">
        <v>7</v>
      </c>
      <c r="E12" s="208"/>
      <c r="F12" s="308">
        <f>P11*174.85</f>
        <v>4371250</v>
      </c>
      <c r="G12" s="167" t="s">
        <v>301</v>
      </c>
      <c r="H12" s="180"/>
      <c r="I12" s="180"/>
      <c r="J12" s="210"/>
      <c r="K12" s="1048" t="s">
        <v>208</v>
      </c>
      <c r="L12" s="194" t="s">
        <v>155</v>
      </c>
      <c r="M12" s="196" t="s">
        <v>9</v>
      </c>
      <c r="N12" s="262" t="s">
        <v>241</v>
      </c>
      <c r="O12" s="195" t="s">
        <v>24</v>
      </c>
      <c r="P12" s="195" t="s">
        <v>27</v>
      </c>
      <c r="Q12" s="1054" t="s">
        <v>28</v>
      </c>
      <c r="R12" s="1055"/>
      <c r="S12" s="1056"/>
    </row>
    <row r="13" spans="2:19" s="100" customFormat="1" ht="18" customHeight="1" x14ac:dyDescent="0.15">
      <c r="B13" s="1050"/>
      <c r="C13" s="1077"/>
      <c r="D13" s="1068" t="s">
        <v>64</v>
      </c>
      <c r="E13" s="212" t="s">
        <v>182</v>
      </c>
      <c r="F13" s="200">
        <f>('６　固定資本装備と減価償却費'!L4+'６　固定資本装備と減価償却費'!L6+'６　固定資本装備と減価償却費'!L8)*0.01</f>
        <v>190343.63636363638</v>
      </c>
      <c r="G13" s="721" t="s">
        <v>186</v>
      </c>
      <c r="H13" s="722">
        <v>0.01</v>
      </c>
      <c r="I13" s="1031" t="s">
        <v>700</v>
      </c>
      <c r="J13" s="1032"/>
      <c r="K13" s="1049"/>
      <c r="L13" s="211"/>
      <c r="M13" s="193"/>
      <c r="N13" s="132"/>
      <c r="O13" s="132"/>
      <c r="P13" s="132"/>
      <c r="Q13" s="1035"/>
      <c r="R13" s="1036"/>
      <c r="S13" s="1037"/>
    </row>
    <row r="14" spans="2:19" s="100" customFormat="1" ht="18" customHeight="1" x14ac:dyDescent="0.15">
      <c r="B14" s="1050"/>
      <c r="C14" s="1077"/>
      <c r="D14" s="1151"/>
      <c r="E14" s="212" t="s">
        <v>183</v>
      </c>
      <c r="F14" s="200">
        <f>('６　固定資本装備と減価償却費'!L33+'６　固定資本装備と減価償却費'!L35+'６　固定資本装備と減価償却費'!L37+'６　固定資本装備と減価償却費'!L39+'６　固定資本装備と減価償却費'!L41+'６　固定資本装備と減価償却費'!L43+'６　固定資本装備と減価償却費'!L45)*0.05</f>
        <v>246430.30303030304</v>
      </c>
      <c r="G14" s="721" t="s">
        <v>186</v>
      </c>
      <c r="H14" s="722">
        <v>0.05</v>
      </c>
      <c r="I14" s="1031" t="s">
        <v>700</v>
      </c>
      <c r="J14" s="1032"/>
      <c r="K14" s="1049"/>
      <c r="L14" s="201"/>
      <c r="M14" s="193"/>
      <c r="N14" s="132"/>
      <c r="O14" s="132"/>
      <c r="P14" s="132"/>
      <c r="Q14" s="1125"/>
      <c r="R14" s="1036"/>
      <c r="S14" s="1037"/>
    </row>
    <row r="15" spans="2:19" s="100" customFormat="1" ht="18" customHeight="1" thickBot="1" x14ac:dyDescent="0.2">
      <c r="B15" s="1050"/>
      <c r="C15" s="1077"/>
      <c r="D15" s="1068" t="s">
        <v>95</v>
      </c>
      <c r="E15" s="212" t="s">
        <v>182</v>
      </c>
      <c r="F15" s="200">
        <f>'６　固定資本装備と減価償却費'!P4+'６　固定資本装備と減価償却費'!P6+'６　固定資本装備と減価償却費'!P8</f>
        <v>1853374.5454545456</v>
      </c>
      <c r="G15" s="1129" t="s">
        <v>700</v>
      </c>
      <c r="H15" s="1130"/>
      <c r="I15" s="1130"/>
      <c r="J15" s="1131"/>
      <c r="K15" s="1049"/>
      <c r="L15" s="112" t="s">
        <v>29</v>
      </c>
      <c r="M15" s="111"/>
      <c r="N15" s="112"/>
      <c r="O15" s="112"/>
      <c r="P15" s="112">
        <f>SUM(P13:P14)</f>
        <v>0</v>
      </c>
      <c r="Q15" s="1142"/>
      <c r="R15" s="1143"/>
      <c r="S15" s="1144"/>
    </row>
    <row r="16" spans="2:19" s="100" customFormat="1" ht="18" customHeight="1" thickTop="1" x14ac:dyDescent="0.15">
      <c r="B16" s="1050"/>
      <c r="C16" s="1077"/>
      <c r="D16" s="1070"/>
      <c r="E16" s="212" t="s">
        <v>183</v>
      </c>
      <c r="F16" s="200">
        <f>'６　固定資本装備と減価償却費'!P33+'６　固定資本装備と減価償却費'!P35+'６　固定資本装備と減価償却費'!P37+'６　固定資本装備と減価償却費'!P39+'６　固定資本装備と減価償却費'!P41+'６　固定資本装備と減価償却費'!P43+'６　固定資本装備と減価償却費'!P45</f>
        <v>707372.29437229433</v>
      </c>
      <c r="G16" s="1129" t="s">
        <v>700</v>
      </c>
      <c r="H16" s="1130"/>
      <c r="I16" s="1130"/>
      <c r="J16" s="1131"/>
      <c r="K16" s="1049"/>
      <c r="L16" s="188" t="s">
        <v>156</v>
      </c>
      <c r="M16" s="189"/>
      <c r="N16" s="261" t="s">
        <v>241</v>
      </c>
      <c r="O16" s="190" t="s">
        <v>24</v>
      </c>
      <c r="P16" s="191" t="s">
        <v>27</v>
      </c>
      <c r="Q16" s="1042" t="s">
        <v>28</v>
      </c>
      <c r="R16" s="1043"/>
      <c r="S16" s="1044"/>
    </row>
    <row r="17" spans="1:19" s="100" customFormat="1" ht="18" customHeight="1" x14ac:dyDescent="0.15">
      <c r="B17" s="1050"/>
      <c r="C17" s="1077"/>
      <c r="D17" s="1151"/>
      <c r="E17" s="200" t="s">
        <v>65</v>
      </c>
      <c r="F17" s="200">
        <f>'６　固定資本装備と減価償却費'!P57</f>
        <v>339159.42148760328</v>
      </c>
      <c r="G17" s="1129" t="s">
        <v>700</v>
      </c>
      <c r="H17" s="1130"/>
      <c r="I17" s="1130"/>
      <c r="J17" s="1131"/>
      <c r="K17" s="1049"/>
      <c r="L17" s="192" t="s">
        <v>162</v>
      </c>
      <c r="M17" s="193"/>
      <c r="N17" s="167" t="s">
        <v>291</v>
      </c>
      <c r="O17" s="184"/>
      <c r="P17" s="182">
        <f>'８－２　ハウスアスパラガス算出基礎'!G7</f>
        <v>200000</v>
      </c>
      <c r="Q17" s="1139"/>
      <c r="R17" s="1140"/>
      <c r="S17" s="1141"/>
    </row>
    <row r="18" spans="1:19" s="100" customFormat="1" ht="18" customHeight="1" x14ac:dyDescent="0.15">
      <c r="A18" s="99"/>
      <c r="B18" s="1050"/>
      <c r="C18" s="1077"/>
      <c r="D18" s="1092" t="s">
        <v>247</v>
      </c>
      <c r="E18" s="213" t="s">
        <v>130</v>
      </c>
      <c r="F18" s="200">
        <v>0</v>
      </c>
      <c r="G18" s="1132"/>
      <c r="H18" s="1133"/>
      <c r="I18" s="1133"/>
      <c r="J18" s="1134"/>
      <c r="K18" s="1049"/>
      <c r="L18" s="192" t="s">
        <v>160</v>
      </c>
      <c r="M18" s="193"/>
      <c r="N18" s="167" t="s">
        <v>292</v>
      </c>
      <c r="O18" s="184"/>
      <c r="P18" s="182">
        <f>'８－２　ハウスアスパラガス算出基礎'!G10</f>
        <v>6100</v>
      </c>
      <c r="Q18" s="1139"/>
      <c r="R18" s="1140"/>
      <c r="S18" s="1141"/>
    </row>
    <row r="19" spans="1:19" s="100" customFormat="1" ht="18" customHeight="1" x14ac:dyDescent="0.15">
      <c r="A19" s="99"/>
      <c r="B19" s="1050"/>
      <c r="C19" s="1077"/>
      <c r="D19" s="1092"/>
      <c r="E19" s="213" t="s">
        <v>126</v>
      </c>
      <c r="F19" s="200">
        <v>0</v>
      </c>
      <c r="G19" s="167"/>
      <c r="H19" s="174"/>
      <c r="I19" s="113"/>
      <c r="J19" s="175"/>
      <c r="K19" s="1049"/>
      <c r="L19" s="167" t="s">
        <v>161</v>
      </c>
      <c r="M19" s="180"/>
      <c r="N19" s="167" t="s">
        <v>292</v>
      </c>
      <c r="O19" s="184"/>
      <c r="P19" s="182">
        <f>'８－２　ハウスアスパラガス算出基礎'!G15</f>
        <v>496500</v>
      </c>
      <c r="Q19" s="1139"/>
      <c r="R19" s="1140"/>
      <c r="S19" s="1141"/>
    </row>
    <row r="20" spans="1:19" s="100" customFormat="1" ht="18" customHeight="1" x14ac:dyDescent="0.15">
      <c r="A20" s="99"/>
      <c r="B20" s="1050"/>
      <c r="C20" s="1077"/>
      <c r="D20" s="1092"/>
      <c r="E20" s="213" t="s">
        <v>127</v>
      </c>
      <c r="F20" s="200">
        <f>+G20*900</f>
        <v>5310900</v>
      </c>
      <c r="G20" s="167">
        <f>+'５－２　ハウスアスパラガス作業時間'!AM34</f>
        <v>5901</v>
      </c>
      <c r="H20" s="174" t="s">
        <v>636</v>
      </c>
      <c r="I20" s="1135" t="s">
        <v>348</v>
      </c>
      <c r="J20" s="1136"/>
      <c r="K20" s="1049"/>
      <c r="L20" s="167"/>
      <c r="M20" s="180"/>
      <c r="N20" s="167"/>
      <c r="O20" s="184"/>
      <c r="P20" s="182"/>
      <c r="Q20" s="1139"/>
      <c r="R20" s="1140"/>
      <c r="S20" s="1141"/>
    </row>
    <row r="21" spans="1:19" s="100" customFormat="1" ht="18" customHeight="1" x14ac:dyDescent="0.15">
      <c r="A21" s="99"/>
      <c r="B21" s="1050"/>
      <c r="C21" s="1077"/>
      <c r="D21" s="1092"/>
      <c r="E21" s="213" t="s">
        <v>128</v>
      </c>
      <c r="F21" s="200">
        <f>F20*0.012</f>
        <v>63730.8</v>
      </c>
      <c r="G21" s="167" t="s">
        <v>351</v>
      </c>
      <c r="H21" s="174"/>
      <c r="I21" s="174"/>
      <c r="J21" s="175"/>
      <c r="K21" s="1049"/>
      <c r="L21" s="167"/>
      <c r="M21" s="180"/>
      <c r="N21" s="167"/>
      <c r="O21" s="182"/>
      <c r="P21" s="182"/>
      <c r="Q21" s="1139"/>
      <c r="R21" s="1140"/>
      <c r="S21" s="1141"/>
    </row>
    <row r="22" spans="1:19" s="100" customFormat="1" ht="18" customHeight="1" thickBot="1" x14ac:dyDescent="0.2">
      <c r="A22" s="99"/>
      <c r="B22" s="1050"/>
      <c r="C22" s="1077"/>
      <c r="D22" s="1092" t="s">
        <v>66</v>
      </c>
      <c r="E22" s="213" t="s">
        <v>67</v>
      </c>
      <c r="F22" s="200">
        <v>0</v>
      </c>
      <c r="G22" s="167"/>
      <c r="H22" s="174"/>
      <c r="I22" s="174"/>
      <c r="J22" s="175"/>
      <c r="K22" s="1049"/>
      <c r="L22" s="112" t="s">
        <v>29</v>
      </c>
      <c r="M22" s="111"/>
      <c r="N22" s="112"/>
      <c r="O22" s="112"/>
      <c r="P22" s="112">
        <f>SUM(P17:P21)</f>
        <v>702600</v>
      </c>
      <c r="Q22" s="1142"/>
      <c r="R22" s="1143"/>
      <c r="S22" s="1144"/>
    </row>
    <row r="23" spans="1:19" s="100" customFormat="1" ht="18" customHeight="1" thickTop="1" x14ac:dyDescent="0.15">
      <c r="A23" s="99"/>
      <c r="B23" s="1050"/>
      <c r="C23" s="1077"/>
      <c r="D23" s="1092"/>
      <c r="E23" s="213" t="s">
        <v>96</v>
      </c>
      <c r="F23" s="200">
        <v>0</v>
      </c>
      <c r="G23" s="167"/>
      <c r="H23" s="174"/>
      <c r="I23" s="174"/>
      <c r="J23" s="175"/>
      <c r="K23" s="1049"/>
      <c r="L23" s="167" t="s">
        <v>157</v>
      </c>
      <c r="M23" s="180"/>
      <c r="N23" s="181" t="s">
        <v>26</v>
      </c>
      <c r="O23" s="181" t="s">
        <v>24</v>
      </c>
      <c r="P23" s="181" t="s">
        <v>27</v>
      </c>
      <c r="Q23" s="1042" t="s">
        <v>28</v>
      </c>
      <c r="R23" s="1043"/>
      <c r="S23" s="1044"/>
    </row>
    <row r="24" spans="1:19" s="100" customFormat="1" ht="18" customHeight="1" x14ac:dyDescent="0.15">
      <c r="A24" s="99"/>
      <c r="B24" s="1050"/>
      <c r="C24" s="1077"/>
      <c r="D24" s="200" t="s">
        <v>68</v>
      </c>
      <c r="E24" s="208"/>
      <c r="F24" s="200">
        <v>30000</v>
      </c>
      <c r="G24" s="167"/>
      <c r="H24" s="174"/>
      <c r="I24" s="661" t="s">
        <v>381</v>
      </c>
      <c r="J24" s="175"/>
      <c r="K24" s="1049"/>
      <c r="L24" s="182" t="s">
        <v>30</v>
      </c>
      <c r="M24" s="180"/>
      <c r="N24" s="167" t="s">
        <v>302</v>
      </c>
      <c r="O24" s="182"/>
      <c r="P24" s="182">
        <f>'８－２　ハウスアスパラガス算出基礎'!G37</f>
        <v>134496</v>
      </c>
      <c r="Q24" s="1139"/>
      <c r="R24" s="1140"/>
      <c r="S24" s="1141"/>
    </row>
    <row r="25" spans="1:19" s="100" customFormat="1" ht="18" customHeight="1" x14ac:dyDescent="0.15">
      <c r="A25" s="99"/>
      <c r="B25" s="1050"/>
      <c r="C25" s="1077"/>
      <c r="D25" s="200" t="s">
        <v>159</v>
      </c>
      <c r="E25" s="208"/>
      <c r="F25" s="200">
        <f>SUM(F6:F24)/99</f>
        <v>152467.44880217631</v>
      </c>
      <c r="G25" s="214" t="s">
        <v>210</v>
      </c>
      <c r="H25" s="220">
        <v>0.01</v>
      </c>
      <c r="I25" s="114"/>
      <c r="J25" s="5"/>
      <c r="K25" s="1049"/>
      <c r="L25" s="182" t="s">
        <v>31</v>
      </c>
      <c r="M25" s="180"/>
      <c r="N25" s="167" t="s">
        <v>303</v>
      </c>
      <c r="O25" s="182"/>
      <c r="P25" s="182">
        <f>'８－２　ハウスアスパラガス算出基礎'!G48</f>
        <v>166110</v>
      </c>
      <c r="Q25" s="1139"/>
      <c r="R25" s="1140"/>
      <c r="S25" s="1141"/>
    </row>
    <row r="26" spans="1:19" s="100" customFormat="1" ht="18" customHeight="1" x14ac:dyDescent="0.15">
      <c r="A26" s="99"/>
      <c r="B26" s="1050"/>
      <c r="C26" s="1150"/>
      <c r="D26" s="1100" t="s">
        <v>201</v>
      </c>
      <c r="E26" s="1101"/>
      <c r="F26" s="130">
        <f>SUM(F6:F25)</f>
        <v>15246744.88021763</v>
      </c>
      <c r="G26" s="176"/>
      <c r="H26" s="114"/>
      <c r="I26" s="114"/>
      <c r="J26" s="116"/>
      <c r="K26" s="1049"/>
      <c r="L26" s="182" t="s">
        <v>32</v>
      </c>
      <c r="M26" s="180"/>
      <c r="N26" s="167" t="s">
        <v>291</v>
      </c>
      <c r="O26" s="182"/>
      <c r="P26" s="182">
        <f>'８－２　ハウスアスパラガス算出基礎'!G52</f>
        <v>23683.200000000001</v>
      </c>
      <c r="Q26" s="1139"/>
      <c r="R26" s="1140"/>
      <c r="S26" s="1141"/>
    </row>
    <row r="27" spans="1:19" s="100" customFormat="1" ht="18" customHeight="1" x14ac:dyDescent="0.15">
      <c r="A27" s="99"/>
      <c r="B27" s="1050"/>
      <c r="C27" s="1093" t="s">
        <v>187</v>
      </c>
      <c r="D27" s="916" t="s">
        <v>69</v>
      </c>
      <c r="E27" s="17" t="s">
        <v>3</v>
      </c>
      <c r="F27" s="308">
        <v>0</v>
      </c>
      <c r="G27" s="723" t="s">
        <v>761</v>
      </c>
      <c r="H27" s="180"/>
      <c r="I27" s="110"/>
      <c r="J27" s="210"/>
      <c r="K27" s="1049"/>
      <c r="L27" s="182" t="s">
        <v>144</v>
      </c>
      <c r="M27" s="180"/>
      <c r="N27" s="167" t="s">
        <v>291</v>
      </c>
      <c r="O27" s="182"/>
      <c r="P27" s="182">
        <f>'８－２　ハウスアスパラガス算出基礎'!G56</f>
        <v>51867</v>
      </c>
      <c r="Q27" s="1139"/>
      <c r="R27" s="1140"/>
      <c r="S27" s="1141"/>
    </row>
    <row r="28" spans="1:19" s="100" customFormat="1" ht="18" customHeight="1" thickBot="1" x14ac:dyDescent="0.2">
      <c r="A28" s="99"/>
      <c r="B28" s="1050"/>
      <c r="C28" s="1094"/>
      <c r="D28" s="919"/>
      <c r="E28" s="17" t="s">
        <v>4</v>
      </c>
      <c r="F28" s="310">
        <f>20*P11</f>
        <v>500000</v>
      </c>
      <c r="G28" s="253" t="s">
        <v>300</v>
      </c>
      <c r="H28" s="215"/>
      <c r="I28" s="215"/>
      <c r="J28" s="216"/>
      <c r="K28" s="1049"/>
      <c r="L28" s="112" t="s">
        <v>29</v>
      </c>
      <c r="M28" s="111"/>
      <c r="N28" s="112"/>
      <c r="O28" s="112"/>
      <c r="P28" s="112">
        <f>SUM(P24:P27)</f>
        <v>376156.2</v>
      </c>
      <c r="Q28" s="1142"/>
      <c r="R28" s="1143"/>
      <c r="S28" s="1144"/>
    </row>
    <row r="29" spans="1:19" s="100" customFormat="1" ht="18" customHeight="1" thickTop="1" x14ac:dyDescent="0.15">
      <c r="A29" s="99"/>
      <c r="B29" s="1050"/>
      <c r="C29" s="1094"/>
      <c r="D29" s="917"/>
      <c r="E29" s="17" t="s">
        <v>8</v>
      </c>
      <c r="F29" s="308">
        <f>F4*0.115</f>
        <v>2944690</v>
      </c>
      <c r="G29" s="724" t="s">
        <v>762</v>
      </c>
      <c r="H29" s="187"/>
      <c r="I29" s="215"/>
      <c r="J29" s="209"/>
      <c r="K29" s="1049"/>
      <c r="L29" s="167" t="s">
        <v>158</v>
      </c>
      <c r="M29" s="180"/>
      <c r="N29" s="181" t="s">
        <v>26</v>
      </c>
      <c r="O29" s="181" t="s">
        <v>24</v>
      </c>
      <c r="P29" s="181" t="s">
        <v>27</v>
      </c>
      <c r="Q29" s="1042" t="s">
        <v>28</v>
      </c>
      <c r="R29" s="1043"/>
      <c r="S29" s="1044"/>
    </row>
    <row r="30" spans="1:19" s="100" customFormat="1" ht="18" customHeight="1" x14ac:dyDescent="0.15">
      <c r="A30" s="99"/>
      <c r="B30" s="1050"/>
      <c r="C30" s="1094"/>
      <c r="D30" s="17" t="s">
        <v>70</v>
      </c>
      <c r="E30" s="18"/>
      <c r="F30" s="105">
        <v>0</v>
      </c>
      <c r="G30" s="1027" t="s">
        <v>189</v>
      </c>
      <c r="H30" s="1028"/>
      <c r="I30" s="1028"/>
      <c r="J30" s="1029"/>
      <c r="K30" s="1049"/>
      <c r="L30" s="182" t="s">
        <v>49</v>
      </c>
      <c r="M30" s="183"/>
      <c r="N30" s="167" t="s">
        <v>293</v>
      </c>
      <c r="O30" s="184"/>
      <c r="P30" s="182">
        <f>'８－２　ハウスアスパラガス算出基礎'!N9</f>
        <v>8470</v>
      </c>
      <c r="Q30" s="1145"/>
      <c r="R30" s="1146"/>
      <c r="S30" s="1147"/>
    </row>
    <row r="31" spans="1:19" s="100" customFormat="1" ht="18" customHeight="1" x14ac:dyDescent="0.15">
      <c r="A31" s="99"/>
      <c r="B31" s="1050"/>
      <c r="C31" s="1094"/>
      <c r="D31" s="932" t="s">
        <v>248</v>
      </c>
      <c r="E31" s="26" t="s">
        <v>130</v>
      </c>
      <c r="F31" s="131">
        <v>0</v>
      </c>
      <c r="G31" s="1027" t="s">
        <v>189</v>
      </c>
      <c r="H31" s="1028"/>
      <c r="I31" s="1028"/>
      <c r="J31" s="1029"/>
      <c r="K31" s="1049"/>
      <c r="L31" s="182" t="s">
        <v>48</v>
      </c>
      <c r="M31" s="183"/>
      <c r="N31" s="167" t="s">
        <v>670</v>
      </c>
      <c r="O31" s="184"/>
      <c r="P31" s="182">
        <f>'８－２　ハウスアスパラガス算出基礎'!N14</f>
        <v>63835.199999999997</v>
      </c>
      <c r="Q31" s="1145"/>
      <c r="R31" s="1146"/>
      <c r="S31" s="1147"/>
    </row>
    <row r="32" spans="1:19" s="100" customFormat="1" ht="18" customHeight="1" x14ac:dyDescent="0.15">
      <c r="A32" s="99"/>
      <c r="B32" s="1050"/>
      <c r="C32" s="1094"/>
      <c r="D32" s="932"/>
      <c r="E32" s="26" t="s">
        <v>129</v>
      </c>
      <c r="F32" s="131">
        <v>0</v>
      </c>
      <c r="G32" s="1027" t="s">
        <v>189</v>
      </c>
      <c r="H32" s="1028"/>
      <c r="I32" s="1028"/>
      <c r="J32" s="1029"/>
      <c r="K32" s="1049"/>
      <c r="L32" s="182" t="s">
        <v>50</v>
      </c>
      <c r="M32" s="180"/>
      <c r="N32" s="184"/>
      <c r="O32" s="184"/>
      <c r="P32" s="182">
        <f>SUM(P30:P31)*R32</f>
        <v>21691.559999999998</v>
      </c>
      <c r="Q32" s="186" t="s">
        <v>33</v>
      </c>
      <c r="R32" s="185">
        <v>0.3</v>
      </c>
      <c r="S32" s="115"/>
    </row>
    <row r="33" spans="1:23" ht="18" customHeight="1" x14ac:dyDescent="0.15">
      <c r="B33" s="1050"/>
      <c r="C33" s="1094"/>
      <c r="D33" s="17" t="s">
        <v>71</v>
      </c>
      <c r="E33" s="27"/>
      <c r="F33" s="310">
        <v>0</v>
      </c>
      <c r="G33" s="1027" t="s">
        <v>189</v>
      </c>
      <c r="H33" s="1028"/>
      <c r="I33" s="1028"/>
      <c r="J33" s="1029"/>
      <c r="K33" s="1049"/>
      <c r="L33" s="182" t="s">
        <v>51</v>
      </c>
      <c r="M33" s="183"/>
      <c r="N33" s="167" t="s">
        <v>293</v>
      </c>
      <c r="O33" s="184"/>
      <c r="P33" s="182">
        <f>'８－２　ハウスアスパラガス算出基礎'!N18</f>
        <v>2020.8000000000002</v>
      </c>
      <c r="Q33" s="1139"/>
      <c r="R33" s="1140"/>
      <c r="S33" s="1141"/>
    </row>
    <row r="34" spans="1:23" ht="18" customHeight="1" x14ac:dyDescent="0.15">
      <c r="B34" s="1050"/>
      <c r="C34" s="1094"/>
      <c r="D34" s="17" t="s">
        <v>97</v>
      </c>
      <c r="E34" s="27"/>
      <c r="F34" s="310">
        <v>0</v>
      </c>
      <c r="G34" s="1027" t="s">
        <v>189</v>
      </c>
      <c r="H34" s="1028"/>
      <c r="I34" s="1028"/>
      <c r="J34" s="1029"/>
      <c r="K34" s="1049"/>
      <c r="L34" s="182" t="s">
        <v>52</v>
      </c>
      <c r="M34" s="183"/>
      <c r="N34" s="167" t="s">
        <v>293</v>
      </c>
      <c r="O34" s="184"/>
      <c r="P34" s="182">
        <f>'８－２　ハウスアスパラガス算出基礎'!N22</f>
        <v>101691.59999999999</v>
      </c>
      <c r="Q34" s="1139"/>
      <c r="R34" s="1140"/>
      <c r="S34" s="1141"/>
    </row>
    <row r="35" spans="1:23" ht="18" customHeight="1" x14ac:dyDescent="0.15">
      <c r="B35" s="1050"/>
      <c r="C35" s="1094"/>
      <c r="D35" s="17" t="s">
        <v>133</v>
      </c>
      <c r="E35" s="18"/>
      <c r="F35" s="131">
        <f>'８－２　ハウスアスパラガス算出基礎'!V56</f>
        <v>265073.33333333331</v>
      </c>
      <c r="G35" s="1126" t="s">
        <v>304</v>
      </c>
      <c r="H35" s="1127"/>
      <c r="I35" s="1127"/>
      <c r="J35" s="1128"/>
      <c r="K35" s="1049"/>
      <c r="L35" s="182" t="s">
        <v>246</v>
      </c>
      <c r="M35" s="183"/>
      <c r="N35" s="167"/>
      <c r="O35" s="184"/>
      <c r="P35" s="182">
        <f>'８－２　ハウスアスパラガス算出基礎'!N26</f>
        <v>0</v>
      </c>
      <c r="Q35" s="1139"/>
      <c r="R35" s="1140"/>
      <c r="S35" s="1141"/>
    </row>
    <row r="36" spans="1:23" ht="18" customHeight="1" x14ac:dyDescent="0.15">
      <c r="B36" s="1050"/>
      <c r="C36" s="1094"/>
      <c r="D36" s="36" t="s">
        <v>98</v>
      </c>
      <c r="E36" s="37"/>
      <c r="F36" s="311">
        <v>15840</v>
      </c>
      <c r="G36" s="1027" t="s">
        <v>671</v>
      </c>
      <c r="H36" s="1028"/>
      <c r="I36" s="1028"/>
      <c r="J36" s="1029"/>
      <c r="K36" s="1049"/>
      <c r="L36" s="182" t="s">
        <v>53</v>
      </c>
      <c r="M36" s="180"/>
      <c r="N36" s="167" t="s">
        <v>293</v>
      </c>
      <c r="O36" s="184"/>
      <c r="P36" s="182">
        <f>'８－２　ハウスアスパラガス算出基礎'!N30</f>
        <v>8064</v>
      </c>
      <c r="Q36" s="1139"/>
      <c r="R36" s="1140"/>
      <c r="S36" s="1141"/>
    </row>
    <row r="37" spans="1:23" ht="18" customHeight="1" thickBot="1" x14ac:dyDescent="0.2">
      <c r="B37" s="1050"/>
      <c r="C37" s="1094"/>
      <c r="D37" s="17" t="s">
        <v>72</v>
      </c>
      <c r="E37" s="18"/>
      <c r="F37" s="131">
        <f>'８－２　ハウスアスパラガス算出基礎'!N56</f>
        <v>21363.813333333335</v>
      </c>
      <c r="G37" s="1126" t="s">
        <v>304</v>
      </c>
      <c r="H37" s="1127"/>
      <c r="I37" s="1127"/>
      <c r="J37" s="1128"/>
      <c r="K37" s="1051"/>
      <c r="L37" s="123" t="s">
        <v>29</v>
      </c>
      <c r="M37" s="122"/>
      <c r="N37" s="123"/>
      <c r="O37" s="123"/>
      <c r="P37" s="123">
        <f>SUM(P30:P36)</f>
        <v>205773.15999999997</v>
      </c>
      <c r="Q37" s="1057"/>
      <c r="R37" s="1058"/>
      <c r="S37" s="1059"/>
    </row>
    <row r="38" spans="1:23" s="117" customFormat="1" ht="18" customHeight="1" x14ac:dyDescent="0.15">
      <c r="A38" s="99"/>
      <c r="B38" s="1050"/>
      <c r="C38" s="1094"/>
      <c r="D38" s="17" t="s">
        <v>0</v>
      </c>
      <c r="E38" s="27"/>
      <c r="F38" s="131">
        <v>0</v>
      </c>
      <c r="G38" s="1103" t="s">
        <v>189</v>
      </c>
      <c r="H38" s="1104"/>
      <c r="I38" s="1104"/>
      <c r="J38" s="1121"/>
    </row>
    <row r="39" spans="1:23" s="117" customFormat="1" ht="18" customHeight="1" thickBot="1" x14ac:dyDescent="0.2">
      <c r="A39" s="99"/>
      <c r="B39" s="1080"/>
      <c r="C39" s="1095"/>
      <c r="D39" s="1098" t="s">
        <v>200</v>
      </c>
      <c r="E39" s="1099"/>
      <c r="F39" s="169">
        <f>SUM(F27:F38)</f>
        <v>3746967.146666667</v>
      </c>
      <c r="G39" s="170"/>
      <c r="H39" s="171"/>
      <c r="I39" s="172"/>
      <c r="J39" s="173"/>
      <c r="T39" s="118"/>
    </row>
    <row r="40" spans="1:23" s="117" customFormat="1" ht="18" customHeight="1" x14ac:dyDescent="0.15">
      <c r="A40" s="99"/>
      <c r="B40" s="1081" t="s">
        <v>204</v>
      </c>
      <c r="C40" s="1084" t="s">
        <v>74</v>
      </c>
      <c r="D40" s="164" t="s">
        <v>132</v>
      </c>
      <c r="E40" s="165"/>
      <c r="F40" s="166">
        <v>0</v>
      </c>
      <c r="G40" s="167"/>
      <c r="H40" s="168"/>
      <c r="I40" s="168"/>
      <c r="J40" s="177"/>
      <c r="T40" s="100"/>
      <c r="U40" s="100"/>
      <c r="V40" s="100"/>
      <c r="W40" s="100"/>
    </row>
    <row r="41" spans="1:23" s="117" customFormat="1" ht="18" customHeight="1" x14ac:dyDescent="0.15">
      <c r="A41" s="99"/>
      <c r="B41" s="1082"/>
      <c r="C41" s="1148"/>
      <c r="D41" s="17" t="s">
        <v>131</v>
      </c>
      <c r="E41" s="18"/>
      <c r="F41" s="158">
        <v>0</v>
      </c>
      <c r="G41" s="167"/>
      <c r="H41" s="124"/>
      <c r="I41" s="124"/>
      <c r="J41" s="178"/>
      <c r="T41" s="119"/>
      <c r="U41" s="120"/>
      <c r="V41" s="121"/>
      <c r="W41" s="119"/>
    </row>
    <row r="42" spans="1:23" s="117" customFormat="1" ht="18" customHeight="1" x14ac:dyDescent="0.15">
      <c r="A42" s="99"/>
      <c r="B42" s="1082"/>
      <c r="C42" s="1086"/>
      <c r="D42" s="36" t="s">
        <v>73</v>
      </c>
      <c r="E42" s="18"/>
      <c r="F42" s="159">
        <v>0</v>
      </c>
      <c r="G42" s="167"/>
      <c r="H42" s="124"/>
      <c r="I42" s="124"/>
      <c r="J42" s="178"/>
      <c r="T42" s="100"/>
      <c r="U42" s="100"/>
      <c r="V42" s="100"/>
      <c r="W42" s="100"/>
    </row>
    <row r="43" spans="1:23" s="117" customFormat="1" ht="18" customHeight="1" x14ac:dyDescent="0.15">
      <c r="B43" s="1082"/>
      <c r="C43" s="1087" t="s">
        <v>203</v>
      </c>
      <c r="D43" s="36" t="s">
        <v>249</v>
      </c>
      <c r="E43" s="37"/>
      <c r="F43" s="159">
        <v>0</v>
      </c>
      <c r="G43" s="167"/>
      <c r="H43" s="124"/>
      <c r="I43" s="124"/>
      <c r="J43" s="178"/>
      <c r="T43" s="101"/>
      <c r="U43" s="118"/>
      <c r="V43" s="100"/>
      <c r="W43" s="119"/>
    </row>
    <row r="44" spans="1:23" s="117" customFormat="1" ht="18" customHeight="1" x14ac:dyDescent="0.15">
      <c r="B44" s="1082"/>
      <c r="C44" s="1149"/>
      <c r="D44" s="38" t="s">
        <v>1</v>
      </c>
      <c r="E44" s="39"/>
      <c r="F44" s="159">
        <v>0</v>
      </c>
      <c r="G44" s="167"/>
      <c r="H44" s="124"/>
      <c r="I44" s="124"/>
      <c r="J44" s="178"/>
      <c r="T44" s="101"/>
      <c r="U44" s="118"/>
      <c r="V44" s="100"/>
      <c r="W44" s="119"/>
    </row>
    <row r="45" spans="1:23" s="117" customFormat="1" ht="18" customHeight="1" thickBot="1" x14ac:dyDescent="0.2">
      <c r="B45" s="1083"/>
      <c r="C45" s="1089" t="s">
        <v>100</v>
      </c>
      <c r="D45" s="1090"/>
      <c r="E45" s="1091"/>
      <c r="F45" s="160">
        <f>SUM(F40:F42)-SUM(F43:F44)</f>
        <v>0</v>
      </c>
      <c r="G45" s="125"/>
      <c r="H45" s="126"/>
      <c r="I45" s="126"/>
      <c r="J45" s="179"/>
      <c r="T45" s="100"/>
      <c r="U45" s="100"/>
      <c r="V45" s="120"/>
      <c r="W45" s="100"/>
    </row>
  </sheetData>
  <mergeCells count="72">
    <mergeCell ref="B3:E3"/>
    <mergeCell ref="K3:S3"/>
    <mergeCell ref="B4:C5"/>
    <mergeCell ref="R4:S4"/>
    <mergeCell ref="R5:S5"/>
    <mergeCell ref="G4:J4"/>
    <mergeCell ref="Q22:S22"/>
    <mergeCell ref="Q23:S23"/>
    <mergeCell ref="G35:J35"/>
    <mergeCell ref="K12:K37"/>
    <mergeCell ref="Q25:S25"/>
    <mergeCell ref="Q27:S27"/>
    <mergeCell ref="Q28:S28"/>
    <mergeCell ref="Q37:S37"/>
    <mergeCell ref="Q35:S35"/>
    <mergeCell ref="G33:J33"/>
    <mergeCell ref="G34:J34"/>
    <mergeCell ref="G36:J36"/>
    <mergeCell ref="R11:S11"/>
    <mergeCell ref="I13:J13"/>
    <mergeCell ref="Q13:S13"/>
    <mergeCell ref="I14:J14"/>
    <mergeCell ref="Q14:S14"/>
    <mergeCell ref="B40:B45"/>
    <mergeCell ref="C40:C42"/>
    <mergeCell ref="C43:C44"/>
    <mergeCell ref="C45:E45"/>
    <mergeCell ref="C6:C26"/>
    <mergeCell ref="D18:D21"/>
    <mergeCell ref="D13:D14"/>
    <mergeCell ref="D15:D17"/>
    <mergeCell ref="D22:D23"/>
    <mergeCell ref="B6:B39"/>
    <mergeCell ref="D26:E26"/>
    <mergeCell ref="D31:D32"/>
    <mergeCell ref="C27:C39"/>
    <mergeCell ref="D27:D29"/>
    <mergeCell ref="D39:E39"/>
    <mergeCell ref="G38:J38"/>
    <mergeCell ref="Q30:S30"/>
    <mergeCell ref="Q31:S31"/>
    <mergeCell ref="Q29:S29"/>
    <mergeCell ref="Q33:S33"/>
    <mergeCell ref="Q36:S36"/>
    <mergeCell ref="R6:S6"/>
    <mergeCell ref="R7:S7"/>
    <mergeCell ref="R8:S8"/>
    <mergeCell ref="Q34:S34"/>
    <mergeCell ref="Q18:S18"/>
    <mergeCell ref="Q12:S12"/>
    <mergeCell ref="Q26:S26"/>
    <mergeCell ref="Q15:S15"/>
    <mergeCell ref="Q16:S16"/>
    <mergeCell ref="Q17:S17"/>
    <mergeCell ref="Q24:S24"/>
    <mergeCell ref="Q19:S19"/>
    <mergeCell ref="Q20:S20"/>
    <mergeCell ref="Q21:S21"/>
    <mergeCell ref="R9:S9"/>
    <mergeCell ref="R10:S10"/>
    <mergeCell ref="G7:J7"/>
    <mergeCell ref="G30:J30"/>
    <mergeCell ref="G31:J31"/>
    <mergeCell ref="G32:J32"/>
    <mergeCell ref="G37:J37"/>
    <mergeCell ref="G15:J15"/>
    <mergeCell ref="G16:J16"/>
    <mergeCell ref="G17:J17"/>
    <mergeCell ref="G18:J18"/>
    <mergeCell ref="I20:J20"/>
    <mergeCell ref="G10:J10"/>
    <mergeCell ref="G11:J11"/>
  </mergeCells>
  <phoneticPr fontId="4"/>
  <pageMargins left="0.78740157480314965" right="0.78740157480314965" top="0.78740157480314965" bottom="0.78740157480314965" header="0.39370078740157483" footer="0.39370078740157483"/>
  <pageSetup paperSize="9" scale="65" orientation="landscape"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75" zoomScaleNormal="75" zoomScaleSheetLayoutView="75" workbookViewId="0"/>
  </sheetViews>
  <sheetFormatPr defaultColWidth="10.875" defaultRowHeight="13.5" x14ac:dyDescent="0.15"/>
  <cols>
    <col min="1" max="1" width="1.625" style="99" customWidth="1"/>
    <col min="2" max="2" width="5.875" style="99" customWidth="1"/>
    <col min="3" max="3" width="10.625" style="99" customWidth="1"/>
    <col min="4" max="4" width="12.375" style="99" customWidth="1"/>
    <col min="5" max="5" width="14.625" style="99" customWidth="1"/>
    <col min="6" max="7" width="15.875" style="99" customWidth="1"/>
    <col min="8" max="8" width="10.875" style="99"/>
    <col min="9" max="9" width="11.375" style="99" bestFit="1" customWidth="1"/>
    <col min="10" max="10" width="13.375" style="99" customWidth="1"/>
    <col min="11" max="11" width="7.125" style="99" customWidth="1"/>
    <col min="12" max="12" width="15.375" style="99" customWidth="1"/>
    <col min="13" max="13" width="9.375" style="99" bestFit="1" customWidth="1"/>
    <col min="14" max="14" width="10.875" style="99"/>
    <col min="15" max="15" width="7.25" style="99" customWidth="1"/>
    <col min="16" max="16" width="9.625" style="99" customWidth="1"/>
    <col min="17" max="17" width="10.875" style="99" customWidth="1"/>
    <col min="18" max="18" width="7.5" style="99" customWidth="1"/>
    <col min="19" max="19" width="3.75" style="99" customWidth="1"/>
    <col min="20" max="16384" width="10.875" style="99"/>
  </cols>
  <sheetData>
    <row r="1" spans="2:19" s="100" customFormat="1" ht="9.9499999999999993" customHeight="1" x14ac:dyDescent="0.15">
      <c r="B1" s="99"/>
      <c r="C1" s="99"/>
      <c r="D1" s="99"/>
      <c r="E1" s="99"/>
      <c r="F1" s="99"/>
      <c r="G1" s="99"/>
      <c r="H1" s="99"/>
      <c r="I1" s="99"/>
      <c r="J1" s="99"/>
      <c r="K1" s="99"/>
      <c r="L1" s="99"/>
      <c r="M1" s="99"/>
      <c r="N1" s="99"/>
      <c r="O1" s="99"/>
      <c r="P1" s="99"/>
      <c r="Q1" s="99"/>
      <c r="R1" s="99"/>
      <c r="S1" s="99"/>
    </row>
    <row r="2" spans="2:19" s="100" customFormat="1" ht="24.95" customHeight="1" thickBot="1" x14ac:dyDescent="0.2">
      <c r="B2" s="2" t="s">
        <v>370</v>
      </c>
      <c r="H2" s="101" t="s">
        <v>237</v>
      </c>
      <c r="I2" s="2" t="s">
        <v>299</v>
      </c>
      <c r="K2" s="101" t="s">
        <v>238</v>
      </c>
      <c r="L2" s="2" t="s">
        <v>627</v>
      </c>
      <c r="N2" s="99"/>
      <c r="O2" s="99"/>
      <c r="Q2" s="3"/>
      <c r="R2" s="3"/>
    </row>
    <row r="3" spans="2:19" s="100" customFormat="1" ht="18" customHeight="1" x14ac:dyDescent="0.15">
      <c r="B3" s="1154" t="s">
        <v>20</v>
      </c>
      <c r="C3" s="1155"/>
      <c r="D3" s="1155"/>
      <c r="E3" s="1156"/>
      <c r="F3" s="129" t="s">
        <v>21</v>
      </c>
      <c r="G3" s="103"/>
      <c r="H3" s="104" t="s">
        <v>22</v>
      </c>
      <c r="I3" s="102"/>
      <c r="J3" s="102"/>
      <c r="K3" s="1157" t="s">
        <v>209</v>
      </c>
      <c r="L3" s="1158"/>
      <c r="M3" s="1158"/>
      <c r="N3" s="1158"/>
      <c r="O3" s="1158"/>
      <c r="P3" s="1158"/>
      <c r="Q3" s="1158"/>
      <c r="R3" s="1158"/>
      <c r="S3" s="1159"/>
    </row>
    <row r="4" spans="2:19" s="100" customFormat="1" ht="18" customHeight="1" x14ac:dyDescent="0.15">
      <c r="B4" s="1071" t="s">
        <v>23</v>
      </c>
      <c r="C4" s="1072"/>
      <c r="D4" s="192" t="s">
        <v>202</v>
      </c>
      <c r="E4" s="206"/>
      <c r="F4" s="200">
        <f>+R11</f>
        <v>14126800</v>
      </c>
      <c r="G4" s="1027" t="s">
        <v>713</v>
      </c>
      <c r="H4" s="1028"/>
      <c r="I4" s="1028"/>
      <c r="J4" s="1029"/>
      <c r="K4" s="197" t="s">
        <v>244</v>
      </c>
      <c r="L4" s="260" t="s">
        <v>242</v>
      </c>
      <c r="M4" s="198" t="s">
        <v>24</v>
      </c>
      <c r="N4" s="198" t="s">
        <v>23</v>
      </c>
      <c r="O4" s="198" t="s">
        <v>244</v>
      </c>
      <c r="P4" s="260" t="s">
        <v>243</v>
      </c>
      <c r="Q4" s="198" t="s">
        <v>24</v>
      </c>
      <c r="R4" s="1160" t="s">
        <v>23</v>
      </c>
      <c r="S4" s="1161"/>
    </row>
    <row r="5" spans="2:19" s="100" customFormat="1" ht="18" customHeight="1" x14ac:dyDescent="0.15">
      <c r="B5" s="1071"/>
      <c r="C5" s="1072"/>
      <c r="D5" s="192" t="s">
        <v>93</v>
      </c>
      <c r="E5" s="206"/>
      <c r="F5" s="200">
        <v>0</v>
      </c>
      <c r="G5" s="161"/>
      <c r="H5" s="207"/>
      <c r="I5" s="207"/>
      <c r="J5" s="207"/>
      <c r="K5" s="256">
        <v>4</v>
      </c>
      <c r="L5" s="308">
        <v>500</v>
      </c>
      <c r="M5" s="308">
        <f>'９　アスパラガス単価算出基礎'!F11</f>
        <v>1403.4</v>
      </c>
      <c r="N5" s="308">
        <f>L5*M5</f>
        <v>701700</v>
      </c>
      <c r="O5" s="308"/>
      <c r="P5" s="308"/>
      <c r="Q5" s="308"/>
      <c r="R5" s="1137">
        <f>P5*Q5</f>
        <v>0</v>
      </c>
      <c r="S5" s="1138"/>
    </row>
    <row r="6" spans="2:19" s="100" customFormat="1" ht="18" customHeight="1" x14ac:dyDescent="0.15">
      <c r="B6" s="1079" t="s">
        <v>207</v>
      </c>
      <c r="C6" s="1076" t="s">
        <v>193</v>
      </c>
      <c r="D6" s="200" t="s">
        <v>60</v>
      </c>
      <c r="E6" s="208"/>
      <c r="F6" s="200">
        <f>+P13</f>
        <v>0</v>
      </c>
      <c r="G6" s="161" t="s">
        <v>185</v>
      </c>
      <c r="H6" s="207"/>
      <c r="I6" s="207"/>
      <c r="J6" s="207"/>
      <c r="K6" s="205">
        <v>5</v>
      </c>
      <c r="L6" s="203">
        <v>3000</v>
      </c>
      <c r="M6" s="308">
        <f>+'９　アスパラガス単価算出基礎'!G11</f>
        <v>1291.8</v>
      </c>
      <c r="N6" s="308">
        <f>L6*M6</f>
        <v>3875400</v>
      </c>
      <c r="O6" s="308"/>
      <c r="P6" s="308"/>
      <c r="Q6" s="308"/>
      <c r="R6" s="1137">
        <f t="shared" ref="R6:R9" si="0">P6*Q6</f>
        <v>0</v>
      </c>
      <c r="S6" s="1138"/>
    </row>
    <row r="7" spans="2:19" s="100" customFormat="1" ht="18" customHeight="1" x14ac:dyDescent="0.15">
      <c r="B7" s="1050"/>
      <c r="C7" s="1077"/>
      <c r="D7" s="200" t="s">
        <v>61</v>
      </c>
      <c r="E7" s="208"/>
      <c r="F7" s="200">
        <f>P22</f>
        <v>668900</v>
      </c>
      <c r="G7" s="1027" t="s">
        <v>309</v>
      </c>
      <c r="H7" s="1028"/>
      <c r="I7" s="1028"/>
      <c r="J7" s="1029"/>
      <c r="K7" s="204">
        <v>6</v>
      </c>
      <c r="L7" s="277">
        <v>1000</v>
      </c>
      <c r="M7" s="308">
        <f>+'９　アスパラガス単価算出基礎'!H11</f>
        <v>1073</v>
      </c>
      <c r="N7" s="308">
        <f t="shared" ref="N7:N11" si="1">L7*M7</f>
        <v>1073000</v>
      </c>
      <c r="O7" s="308"/>
      <c r="P7" s="308"/>
      <c r="Q7" s="308"/>
      <c r="R7" s="1137">
        <f t="shared" si="0"/>
        <v>0</v>
      </c>
      <c r="S7" s="1138"/>
    </row>
    <row r="8" spans="2:19" s="100" customFormat="1" ht="18" customHeight="1" x14ac:dyDescent="0.15">
      <c r="B8" s="1050"/>
      <c r="C8" s="1077"/>
      <c r="D8" s="200" t="s">
        <v>62</v>
      </c>
      <c r="E8" s="208"/>
      <c r="F8" s="200">
        <f>P28</f>
        <v>264385.8</v>
      </c>
      <c r="G8" s="1027" t="s">
        <v>310</v>
      </c>
      <c r="H8" s="1028"/>
      <c r="I8" s="1028"/>
      <c r="J8" s="1029"/>
      <c r="K8" s="202">
        <v>7</v>
      </c>
      <c r="L8" s="308">
        <v>3500</v>
      </c>
      <c r="M8" s="308">
        <f>+'９　アスパラガス単価算出基礎'!I11</f>
        <v>826.4</v>
      </c>
      <c r="N8" s="308">
        <f t="shared" si="1"/>
        <v>2892400</v>
      </c>
      <c r="O8" s="308"/>
      <c r="P8" s="308"/>
      <c r="Q8" s="308"/>
      <c r="R8" s="1137">
        <f t="shared" si="0"/>
        <v>0</v>
      </c>
      <c r="S8" s="1138"/>
    </row>
    <row r="9" spans="2:19" s="100" customFormat="1" ht="18" customHeight="1" x14ac:dyDescent="0.15">
      <c r="B9" s="1050"/>
      <c r="C9" s="1077"/>
      <c r="D9" s="200" t="s">
        <v>94</v>
      </c>
      <c r="E9" s="208"/>
      <c r="F9" s="200">
        <f>P37</f>
        <v>254713.64</v>
      </c>
      <c r="G9" s="1027" t="s">
        <v>311</v>
      </c>
      <c r="H9" s="1028"/>
      <c r="I9" s="1028"/>
      <c r="J9" s="1029"/>
      <c r="K9" s="202">
        <v>8</v>
      </c>
      <c r="L9" s="308">
        <v>4000</v>
      </c>
      <c r="M9" s="308">
        <f>+'９　アスパラガス単価算出基礎'!J11</f>
        <v>701.8</v>
      </c>
      <c r="N9" s="308">
        <f t="shared" si="1"/>
        <v>2807200</v>
      </c>
      <c r="O9" s="308"/>
      <c r="P9" s="308"/>
      <c r="Q9" s="308"/>
      <c r="R9" s="1137">
        <f t="shared" si="0"/>
        <v>0</v>
      </c>
      <c r="S9" s="1138"/>
    </row>
    <row r="10" spans="2:19" s="100" customFormat="1" ht="18" customHeight="1" x14ac:dyDescent="0.15">
      <c r="B10" s="1050"/>
      <c r="C10" s="1077"/>
      <c r="D10" s="200" t="s">
        <v>63</v>
      </c>
      <c r="E10" s="208"/>
      <c r="F10" s="200">
        <f>'８－３　露地アスパラガス算出基礎'!V20</f>
        <v>228333.33333333331</v>
      </c>
      <c r="G10" s="1126" t="s">
        <v>308</v>
      </c>
      <c r="H10" s="1127"/>
      <c r="I10" s="1127"/>
      <c r="J10" s="1128"/>
      <c r="K10" s="202">
        <v>9</v>
      </c>
      <c r="L10" s="308">
        <v>2500</v>
      </c>
      <c r="M10" s="308">
        <f>+'９　アスパラガス単価算出基礎'!K11</f>
        <v>903</v>
      </c>
      <c r="N10" s="308">
        <f t="shared" si="1"/>
        <v>2257500</v>
      </c>
      <c r="O10" s="308"/>
      <c r="P10" s="308"/>
      <c r="Q10" s="308"/>
      <c r="R10" s="1041"/>
      <c r="S10" s="1032"/>
    </row>
    <row r="11" spans="2:19" s="100" customFormat="1" ht="18" customHeight="1" thickBot="1" x14ac:dyDescent="0.2">
      <c r="B11" s="1050"/>
      <c r="C11" s="1077"/>
      <c r="D11" s="200" t="s">
        <v>6</v>
      </c>
      <c r="E11" s="208"/>
      <c r="F11" s="200">
        <f>'８－３　露地アスパラガス算出基礎'!V34</f>
        <v>17968.888888888891</v>
      </c>
      <c r="G11" s="1126" t="s">
        <v>308</v>
      </c>
      <c r="H11" s="1127"/>
      <c r="I11" s="1127"/>
      <c r="J11" s="1128"/>
      <c r="K11" s="120">
        <v>10</v>
      </c>
      <c r="L11" s="106">
        <v>500</v>
      </c>
      <c r="M11" s="106">
        <f>+'９　アスパラガス単価算出基礎'!L11</f>
        <v>1039.2</v>
      </c>
      <c r="N11" s="309">
        <f t="shared" si="1"/>
        <v>519600</v>
      </c>
      <c r="O11" s="107" t="s">
        <v>25</v>
      </c>
      <c r="P11" s="108">
        <f>SUM(L5:L11,P5:Q10)</f>
        <v>15000</v>
      </c>
      <c r="Q11" s="109">
        <f>R11/P11</f>
        <v>941.78666666666663</v>
      </c>
      <c r="R11" s="1052">
        <f>SUM(N5:N11,R5:S10)</f>
        <v>14126800</v>
      </c>
      <c r="S11" s="1053"/>
    </row>
    <row r="12" spans="2:19" s="100" customFormat="1" ht="18" customHeight="1" thickTop="1" x14ac:dyDescent="0.15">
      <c r="B12" s="1050"/>
      <c r="C12" s="1077"/>
      <c r="D12" s="200" t="s">
        <v>7</v>
      </c>
      <c r="E12" s="208"/>
      <c r="F12" s="308">
        <f>P11*174.85</f>
        <v>2622750</v>
      </c>
      <c r="G12" s="167" t="s">
        <v>301</v>
      </c>
      <c r="H12" s="180"/>
      <c r="I12" s="180"/>
      <c r="J12" s="210"/>
      <c r="K12" s="1048" t="s">
        <v>208</v>
      </c>
      <c r="L12" s="194" t="s">
        <v>155</v>
      </c>
      <c r="M12" s="196" t="s">
        <v>9</v>
      </c>
      <c r="N12" s="262" t="s">
        <v>241</v>
      </c>
      <c r="O12" s="195" t="s">
        <v>24</v>
      </c>
      <c r="P12" s="195" t="s">
        <v>27</v>
      </c>
      <c r="Q12" s="1054" t="s">
        <v>28</v>
      </c>
      <c r="R12" s="1055"/>
      <c r="S12" s="1056"/>
    </row>
    <row r="13" spans="2:19" s="100" customFormat="1" ht="18" customHeight="1" x14ac:dyDescent="0.15">
      <c r="B13" s="1050"/>
      <c r="C13" s="1077"/>
      <c r="D13" s="1068" t="s">
        <v>64</v>
      </c>
      <c r="E13" s="212" t="s">
        <v>182</v>
      </c>
      <c r="F13" s="200">
        <f>('６　固定資本装備と減価償却費'!L5+'６　固定資本装備と減価償却費'!L9)*0.01</f>
        <v>8525.454545454546</v>
      </c>
      <c r="G13" s="721" t="s">
        <v>186</v>
      </c>
      <c r="H13" s="722">
        <v>0.01</v>
      </c>
      <c r="I13" s="1031" t="s">
        <v>700</v>
      </c>
      <c r="J13" s="1032"/>
      <c r="K13" s="1049"/>
      <c r="L13" s="211"/>
      <c r="M13" s="193"/>
      <c r="N13" s="132"/>
      <c r="O13" s="132"/>
      <c r="P13" s="132"/>
      <c r="Q13" s="1035"/>
      <c r="R13" s="1036"/>
      <c r="S13" s="1037"/>
    </row>
    <row r="14" spans="2:19" s="100" customFormat="1" ht="18" customHeight="1" x14ac:dyDescent="0.15">
      <c r="B14" s="1050"/>
      <c r="C14" s="1077"/>
      <c r="D14" s="1151"/>
      <c r="E14" s="212" t="s">
        <v>183</v>
      </c>
      <c r="F14" s="200">
        <f>('６　固定資本装備と減価償却費'!L34+'６　固定資本装備と減価償却費'!L36+'６　固定資本装備と減価償却費'!L38+'６　固定資本装備と減価償却費'!L40+'６　固定資本装備と減価償却費'!L42+'６　固定資本装備と減価償却費'!L44+'６　固定資本装備と減価償却費'!L46)*0.05</f>
        <v>246430.30303030304</v>
      </c>
      <c r="G14" s="721" t="s">
        <v>186</v>
      </c>
      <c r="H14" s="722">
        <v>0.05</v>
      </c>
      <c r="I14" s="1031" t="s">
        <v>700</v>
      </c>
      <c r="J14" s="1032"/>
      <c r="K14" s="1049"/>
      <c r="L14" s="201"/>
      <c r="M14" s="193"/>
      <c r="N14" s="132"/>
      <c r="O14" s="132"/>
      <c r="P14" s="132"/>
      <c r="Q14" s="1125"/>
      <c r="R14" s="1036"/>
      <c r="S14" s="1037"/>
    </row>
    <row r="15" spans="2:19" s="100" customFormat="1" ht="18" customHeight="1" thickBot="1" x14ac:dyDescent="0.2">
      <c r="B15" s="1050"/>
      <c r="C15" s="1077"/>
      <c r="D15" s="1068" t="s">
        <v>95</v>
      </c>
      <c r="E15" s="212" t="s">
        <v>182</v>
      </c>
      <c r="F15" s="200">
        <f>'６　固定資本装備と減価償却費'!P5+'６　固定資本装備と減価償却費'!P9</f>
        <v>35192.727272727279</v>
      </c>
      <c r="G15" s="1129" t="s">
        <v>700</v>
      </c>
      <c r="H15" s="1130"/>
      <c r="I15" s="1130"/>
      <c r="J15" s="1131"/>
      <c r="K15" s="1049"/>
      <c r="L15" s="112" t="s">
        <v>29</v>
      </c>
      <c r="M15" s="111"/>
      <c r="N15" s="112"/>
      <c r="O15" s="112"/>
      <c r="P15" s="112">
        <f>SUM(P13:P14)</f>
        <v>0</v>
      </c>
      <c r="Q15" s="1142"/>
      <c r="R15" s="1143"/>
      <c r="S15" s="1144"/>
    </row>
    <row r="16" spans="2:19" s="100" customFormat="1" ht="18" customHeight="1" thickTop="1" x14ac:dyDescent="0.15">
      <c r="B16" s="1050"/>
      <c r="C16" s="1077"/>
      <c r="D16" s="1070"/>
      <c r="E16" s="212" t="s">
        <v>183</v>
      </c>
      <c r="F16" s="200">
        <f>'６　固定資本装備と減価償却費'!P34+'６　固定資本装備と減価償却費'!P36+'６　固定資本装備と減価償却費'!P38+'６　固定資本装備と減価償却費'!P40+'６　固定資本装備と減価償却費'!P42+'６　固定資本装備と減価償却費'!P44+'６　固定資本装備と減価償却費'!P46</f>
        <v>707372.29437229433</v>
      </c>
      <c r="G16" s="1129" t="s">
        <v>700</v>
      </c>
      <c r="H16" s="1130"/>
      <c r="I16" s="1130"/>
      <c r="J16" s="1131"/>
      <c r="K16" s="1049"/>
      <c r="L16" s="188" t="s">
        <v>156</v>
      </c>
      <c r="M16" s="189"/>
      <c r="N16" s="261" t="s">
        <v>241</v>
      </c>
      <c r="O16" s="190" t="s">
        <v>24</v>
      </c>
      <c r="P16" s="191" t="s">
        <v>27</v>
      </c>
      <c r="Q16" s="1042" t="s">
        <v>28</v>
      </c>
      <c r="R16" s="1043"/>
      <c r="S16" s="1044"/>
    </row>
    <row r="17" spans="1:19" s="100" customFormat="1" ht="18" customHeight="1" x14ac:dyDescent="0.15">
      <c r="B17" s="1050"/>
      <c r="C17" s="1077"/>
      <c r="D17" s="1151"/>
      <c r="E17" s="200" t="s">
        <v>65</v>
      </c>
      <c r="F17" s="200">
        <f>'６　固定資本装備と減価償却費'!P57</f>
        <v>339159.42148760328</v>
      </c>
      <c r="G17" s="1129" t="s">
        <v>700</v>
      </c>
      <c r="H17" s="1130"/>
      <c r="I17" s="1130"/>
      <c r="J17" s="1131"/>
      <c r="K17" s="1049"/>
      <c r="L17" s="192" t="s">
        <v>162</v>
      </c>
      <c r="M17" s="193"/>
      <c r="N17" s="167" t="s">
        <v>297</v>
      </c>
      <c r="O17" s="184"/>
      <c r="P17" s="182">
        <f>'８－３　露地アスパラガス算出基礎'!G7</f>
        <v>200000</v>
      </c>
      <c r="Q17" s="1139"/>
      <c r="R17" s="1140"/>
      <c r="S17" s="1141"/>
    </row>
    <row r="18" spans="1:19" s="100" customFormat="1" ht="18" customHeight="1" x14ac:dyDescent="0.15">
      <c r="A18" s="99"/>
      <c r="B18" s="1050"/>
      <c r="C18" s="1077"/>
      <c r="D18" s="1092" t="s">
        <v>247</v>
      </c>
      <c r="E18" s="213" t="s">
        <v>130</v>
      </c>
      <c r="F18" s="200">
        <v>0</v>
      </c>
      <c r="G18" s="1129"/>
      <c r="H18" s="1130"/>
      <c r="I18" s="1130"/>
      <c r="J18" s="1131"/>
      <c r="K18" s="1049"/>
      <c r="L18" s="192" t="s">
        <v>160</v>
      </c>
      <c r="M18" s="193"/>
      <c r="N18" s="167" t="s">
        <v>297</v>
      </c>
      <c r="O18" s="184"/>
      <c r="P18" s="182">
        <f>'８－３　露地アスパラガス算出基礎'!G11</f>
        <v>6100</v>
      </c>
      <c r="Q18" s="1139"/>
      <c r="R18" s="1140"/>
      <c r="S18" s="1141"/>
    </row>
    <row r="19" spans="1:19" s="100" customFormat="1" ht="18" customHeight="1" x14ac:dyDescent="0.15">
      <c r="A19" s="99"/>
      <c r="B19" s="1050"/>
      <c r="C19" s="1077"/>
      <c r="D19" s="1092"/>
      <c r="E19" s="213" t="s">
        <v>126</v>
      </c>
      <c r="F19" s="200">
        <v>0</v>
      </c>
      <c r="G19" s="167"/>
      <c r="H19" s="174"/>
      <c r="I19" s="113"/>
      <c r="J19" s="175"/>
      <c r="K19" s="1049"/>
      <c r="L19" s="167" t="s">
        <v>161</v>
      </c>
      <c r="M19" s="180"/>
      <c r="N19" s="167" t="s">
        <v>298</v>
      </c>
      <c r="O19" s="184"/>
      <c r="P19" s="182">
        <f>'８－３　露地アスパラガス算出基礎'!G16</f>
        <v>462800</v>
      </c>
      <c r="Q19" s="1139"/>
      <c r="R19" s="1140"/>
      <c r="S19" s="1141"/>
    </row>
    <row r="20" spans="1:19" s="100" customFormat="1" ht="18" customHeight="1" x14ac:dyDescent="0.15">
      <c r="A20" s="99"/>
      <c r="B20" s="1050"/>
      <c r="C20" s="1077"/>
      <c r="D20" s="1092"/>
      <c r="E20" s="213" t="s">
        <v>127</v>
      </c>
      <c r="F20" s="200">
        <f>4398*900</f>
        <v>3958200</v>
      </c>
      <c r="G20" s="167">
        <f>+'５－３　露地アスパラガス作業時間'!AM34</f>
        <v>4398</v>
      </c>
      <c r="H20" s="174" t="s">
        <v>636</v>
      </c>
      <c r="I20" s="1135" t="s">
        <v>348</v>
      </c>
      <c r="J20" s="1136"/>
      <c r="K20" s="1049"/>
      <c r="L20" s="167"/>
      <c r="M20" s="180"/>
      <c r="N20" s="167"/>
      <c r="O20" s="184"/>
      <c r="P20" s="182"/>
      <c r="Q20" s="1139"/>
      <c r="R20" s="1140"/>
      <c r="S20" s="1141"/>
    </row>
    <row r="21" spans="1:19" s="100" customFormat="1" ht="18" customHeight="1" x14ac:dyDescent="0.15">
      <c r="A21" s="99"/>
      <c r="B21" s="1050"/>
      <c r="C21" s="1077"/>
      <c r="D21" s="1092"/>
      <c r="E21" s="213" t="s">
        <v>128</v>
      </c>
      <c r="F21" s="200">
        <f>F20*0.012</f>
        <v>47498.400000000001</v>
      </c>
      <c r="G21" s="167" t="s">
        <v>351</v>
      </c>
      <c r="H21" s="174"/>
      <c r="I21" s="174"/>
      <c r="J21" s="175"/>
      <c r="K21" s="1049"/>
      <c r="L21" s="167"/>
      <c r="M21" s="180"/>
      <c r="N21" s="167"/>
      <c r="O21" s="182"/>
      <c r="P21" s="182"/>
      <c r="Q21" s="1139"/>
      <c r="R21" s="1140"/>
      <c r="S21" s="1141"/>
    </row>
    <row r="22" spans="1:19" s="100" customFormat="1" ht="18" customHeight="1" thickBot="1" x14ac:dyDescent="0.2">
      <c r="A22" s="99"/>
      <c r="B22" s="1050"/>
      <c r="C22" s="1077"/>
      <c r="D22" s="1092" t="s">
        <v>66</v>
      </c>
      <c r="E22" s="213" t="s">
        <v>67</v>
      </c>
      <c r="F22" s="200">
        <v>0</v>
      </c>
      <c r="G22" s="167"/>
      <c r="H22" s="174"/>
      <c r="I22" s="174"/>
      <c r="J22" s="175"/>
      <c r="K22" s="1049"/>
      <c r="L22" s="112" t="s">
        <v>29</v>
      </c>
      <c r="M22" s="111"/>
      <c r="N22" s="112"/>
      <c r="O22" s="112"/>
      <c r="P22" s="112">
        <f>SUM(P17:P21)</f>
        <v>668900</v>
      </c>
      <c r="Q22" s="1142"/>
      <c r="R22" s="1143"/>
      <c r="S22" s="1144"/>
    </row>
    <row r="23" spans="1:19" s="100" customFormat="1" ht="18" customHeight="1" thickTop="1" x14ac:dyDescent="0.15">
      <c r="A23" s="99"/>
      <c r="B23" s="1050"/>
      <c r="C23" s="1077"/>
      <c r="D23" s="1092"/>
      <c r="E23" s="213" t="s">
        <v>96</v>
      </c>
      <c r="F23" s="200">
        <v>0</v>
      </c>
      <c r="G23" s="167"/>
      <c r="H23" s="174"/>
      <c r="I23" s="174"/>
      <c r="J23" s="175"/>
      <c r="K23" s="1049"/>
      <c r="L23" s="167" t="s">
        <v>157</v>
      </c>
      <c r="M23" s="180"/>
      <c r="N23" s="181" t="s">
        <v>26</v>
      </c>
      <c r="O23" s="181" t="s">
        <v>24</v>
      </c>
      <c r="P23" s="181" t="s">
        <v>27</v>
      </c>
      <c r="Q23" s="1042" t="s">
        <v>28</v>
      </c>
      <c r="R23" s="1043"/>
      <c r="S23" s="1044"/>
    </row>
    <row r="24" spans="1:19" s="100" customFormat="1" ht="18" customHeight="1" x14ac:dyDescent="0.15">
      <c r="A24" s="99"/>
      <c r="B24" s="1050"/>
      <c r="C24" s="1077"/>
      <c r="D24" s="200" t="s">
        <v>68</v>
      </c>
      <c r="E24" s="208"/>
      <c r="F24" s="200">
        <v>30000</v>
      </c>
      <c r="G24" s="167"/>
      <c r="H24" s="174"/>
      <c r="I24" s="661" t="s">
        <v>381</v>
      </c>
      <c r="J24" s="175"/>
      <c r="K24" s="1049"/>
      <c r="L24" s="182" t="s">
        <v>30</v>
      </c>
      <c r="M24" s="180"/>
      <c r="N24" s="167" t="s">
        <v>294</v>
      </c>
      <c r="O24" s="182"/>
      <c r="P24" s="182">
        <f>'８－３　露地アスパラガス算出基礎'!G38</f>
        <v>94986</v>
      </c>
      <c r="Q24" s="1139"/>
      <c r="R24" s="1140"/>
      <c r="S24" s="1141"/>
    </row>
    <row r="25" spans="1:19" s="100" customFormat="1" ht="18" customHeight="1" x14ac:dyDescent="0.15">
      <c r="A25" s="99"/>
      <c r="B25" s="1050"/>
      <c r="C25" s="1077"/>
      <c r="D25" s="200" t="s">
        <v>159</v>
      </c>
      <c r="E25" s="208"/>
      <c r="F25" s="200">
        <f>SUM(F6:F24)/99</f>
        <v>95246.770332632383</v>
      </c>
      <c r="G25" s="214" t="s">
        <v>210</v>
      </c>
      <c r="H25" s="220">
        <v>0.01</v>
      </c>
      <c r="I25" s="114"/>
      <c r="J25" s="5"/>
      <c r="K25" s="1049"/>
      <c r="L25" s="182" t="s">
        <v>31</v>
      </c>
      <c r="M25" s="180"/>
      <c r="N25" s="167" t="s">
        <v>295</v>
      </c>
      <c r="O25" s="182"/>
      <c r="P25" s="182">
        <f>'８－３　露地アスパラガス算出基礎'!G49</f>
        <v>80130</v>
      </c>
      <c r="Q25" s="1139"/>
      <c r="R25" s="1140"/>
      <c r="S25" s="1141"/>
    </row>
    <row r="26" spans="1:19" s="100" customFormat="1" ht="18" customHeight="1" x14ac:dyDescent="0.15">
      <c r="A26" s="99"/>
      <c r="B26" s="1050"/>
      <c r="C26" s="1150"/>
      <c r="D26" s="1100" t="s">
        <v>201</v>
      </c>
      <c r="E26" s="1101"/>
      <c r="F26" s="130">
        <f>SUM(F6:F25)</f>
        <v>9524677.0332632381</v>
      </c>
      <c r="G26" s="176"/>
      <c r="H26" s="114"/>
      <c r="I26" s="114"/>
      <c r="J26" s="116"/>
      <c r="K26" s="1049"/>
      <c r="L26" s="182" t="s">
        <v>32</v>
      </c>
      <c r="M26" s="180"/>
      <c r="N26" s="167" t="s">
        <v>296</v>
      </c>
      <c r="O26" s="182"/>
      <c r="P26" s="182">
        <f>'８－３　露地アスパラガス算出基礎'!G53</f>
        <v>47776.2</v>
      </c>
      <c r="Q26" s="1139"/>
      <c r="R26" s="1140"/>
      <c r="S26" s="1141"/>
    </row>
    <row r="27" spans="1:19" s="100" customFormat="1" ht="18" customHeight="1" x14ac:dyDescent="0.15">
      <c r="A27" s="99"/>
      <c r="B27" s="1050"/>
      <c r="C27" s="1093" t="s">
        <v>187</v>
      </c>
      <c r="D27" s="916" t="s">
        <v>69</v>
      </c>
      <c r="E27" s="17" t="s">
        <v>3</v>
      </c>
      <c r="F27" s="308">
        <v>0</v>
      </c>
      <c r="G27" s="253" t="s">
        <v>761</v>
      </c>
      <c r="H27" s="180"/>
      <c r="I27" s="110"/>
      <c r="J27" s="210"/>
      <c r="K27" s="1049"/>
      <c r="L27" s="182" t="s">
        <v>144</v>
      </c>
      <c r="M27" s="180"/>
      <c r="N27" s="167" t="s">
        <v>297</v>
      </c>
      <c r="O27" s="182"/>
      <c r="P27" s="182">
        <f>'８－３　露地アスパラガス算出基礎'!G57</f>
        <v>41493.599999999999</v>
      </c>
      <c r="Q27" s="1139"/>
      <c r="R27" s="1140"/>
      <c r="S27" s="1141"/>
    </row>
    <row r="28" spans="1:19" s="100" customFormat="1" ht="18" customHeight="1" thickBot="1" x14ac:dyDescent="0.2">
      <c r="A28" s="99"/>
      <c r="B28" s="1050"/>
      <c r="C28" s="1094"/>
      <c r="D28" s="919"/>
      <c r="E28" s="17" t="s">
        <v>4</v>
      </c>
      <c r="F28" s="310">
        <f>20*P11</f>
        <v>300000</v>
      </c>
      <c r="G28" s="253" t="s">
        <v>300</v>
      </c>
      <c r="H28" s="215"/>
      <c r="I28" s="215"/>
      <c r="J28" s="216"/>
      <c r="K28" s="1049"/>
      <c r="L28" s="112" t="s">
        <v>29</v>
      </c>
      <c r="M28" s="111"/>
      <c r="N28" s="112"/>
      <c r="O28" s="112"/>
      <c r="P28" s="112">
        <f>SUM(P24:P27)</f>
        <v>264385.8</v>
      </c>
      <c r="Q28" s="1142"/>
      <c r="R28" s="1143"/>
      <c r="S28" s="1144"/>
    </row>
    <row r="29" spans="1:19" s="100" customFormat="1" ht="18" customHeight="1" thickTop="1" x14ac:dyDescent="0.15">
      <c r="A29" s="99"/>
      <c r="B29" s="1050"/>
      <c r="C29" s="1094"/>
      <c r="D29" s="917"/>
      <c r="E29" s="17" t="s">
        <v>8</v>
      </c>
      <c r="F29" s="308">
        <f>F4*0.115</f>
        <v>1624582</v>
      </c>
      <c r="G29" s="724" t="s">
        <v>762</v>
      </c>
      <c r="H29" s="187"/>
      <c r="I29" s="215"/>
      <c r="J29" s="209"/>
      <c r="K29" s="1049"/>
      <c r="L29" s="167" t="s">
        <v>158</v>
      </c>
      <c r="M29" s="180"/>
      <c r="N29" s="181" t="s">
        <v>26</v>
      </c>
      <c r="O29" s="181" t="s">
        <v>24</v>
      </c>
      <c r="P29" s="181" t="s">
        <v>27</v>
      </c>
      <c r="Q29" s="1042" t="s">
        <v>28</v>
      </c>
      <c r="R29" s="1043"/>
      <c r="S29" s="1044"/>
    </row>
    <row r="30" spans="1:19" s="100" customFormat="1" ht="18" customHeight="1" x14ac:dyDescent="0.15">
      <c r="A30" s="99"/>
      <c r="B30" s="1050"/>
      <c r="C30" s="1094"/>
      <c r="D30" s="17" t="s">
        <v>70</v>
      </c>
      <c r="E30" s="18"/>
      <c r="F30" s="105">
        <v>0</v>
      </c>
      <c r="G30" s="1027" t="s">
        <v>189</v>
      </c>
      <c r="H30" s="1028"/>
      <c r="I30" s="1028"/>
      <c r="J30" s="1029"/>
      <c r="K30" s="1049"/>
      <c r="L30" s="182" t="s">
        <v>49</v>
      </c>
      <c r="M30" s="183"/>
      <c r="N30" s="167" t="s">
        <v>293</v>
      </c>
      <c r="O30" s="184"/>
      <c r="P30" s="182">
        <f>'８－３　露地アスパラガス算出基礎'!N10</f>
        <v>6352.5</v>
      </c>
      <c r="Q30" s="1145"/>
      <c r="R30" s="1146"/>
      <c r="S30" s="1147"/>
    </row>
    <row r="31" spans="1:19" s="100" customFormat="1" ht="18" customHeight="1" x14ac:dyDescent="0.15">
      <c r="A31" s="99"/>
      <c r="B31" s="1050"/>
      <c r="C31" s="1094"/>
      <c r="D31" s="932" t="s">
        <v>248</v>
      </c>
      <c r="E31" s="26" t="s">
        <v>130</v>
      </c>
      <c r="F31" s="131">
        <v>0</v>
      </c>
      <c r="G31" s="1027" t="s">
        <v>189</v>
      </c>
      <c r="H31" s="1028"/>
      <c r="I31" s="1028"/>
      <c r="J31" s="1029"/>
      <c r="K31" s="1049"/>
      <c r="L31" s="182" t="s">
        <v>48</v>
      </c>
      <c r="M31" s="183"/>
      <c r="N31" s="167" t="s">
        <v>670</v>
      </c>
      <c r="O31" s="184"/>
      <c r="P31" s="182">
        <f>'８－３　露地アスパラガス算出基礎'!N15</f>
        <v>63835.199999999997</v>
      </c>
      <c r="Q31" s="1145"/>
      <c r="R31" s="1146"/>
      <c r="S31" s="1147"/>
    </row>
    <row r="32" spans="1:19" s="100" customFormat="1" ht="18" customHeight="1" x14ac:dyDescent="0.15">
      <c r="A32" s="99"/>
      <c r="B32" s="1050"/>
      <c r="C32" s="1094"/>
      <c r="D32" s="932"/>
      <c r="E32" s="26" t="s">
        <v>129</v>
      </c>
      <c r="F32" s="131">
        <v>0</v>
      </c>
      <c r="G32" s="1027" t="s">
        <v>189</v>
      </c>
      <c r="H32" s="1028"/>
      <c r="I32" s="1028"/>
      <c r="J32" s="1029"/>
      <c r="K32" s="1049"/>
      <c r="L32" s="182" t="s">
        <v>50</v>
      </c>
      <c r="M32" s="180"/>
      <c r="N32" s="184"/>
      <c r="O32" s="184"/>
      <c r="P32" s="182">
        <f>SUM(P30:P31)*R32</f>
        <v>21056.309999999998</v>
      </c>
      <c r="Q32" s="186" t="s">
        <v>33</v>
      </c>
      <c r="R32" s="185">
        <v>0.3</v>
      </c>
      <c r="S32" s="115"/>
    </row>
    <row r="33" spans="1:23" ht="18" customHeight="1" x14ac:dyDescent="0.15">
      <c r="B33" s="1050"/>
      <c r="C33" s="1094"/>
      <c r="D33" s="17" t="s">
        <v>71</v>
      </c>
      <c r="E33" s="27"/>
      <c r="F33" s="310">
        <v>0</v>
      </c>
      <c r="G33" s="1027" t="s">
        <v>189</v>
      </c>
      <c r="H33" s="1028"/>
      <c r="I33" s="1028"/>
      <c r="J33" s="1029"/>
      <c r="K33" s="1049"/>
      <c r="L33" s="182" t="s">
        <v>51</v>
      </c>
      <c r="M33" s="183"/>
      <c r="N33" s="167" t="s">
        <v>293</v>
      </c>
      <c r="O33" s="184"/>
      <c r="P33" s="182">
        <f>'８－３　露地アスパラガス算出基礎'!N19</f>
        <v>2020.8000000000002</v>
      </c>
      <c r="Q33" s="1139"/>
      <c r="R33" s="1140"/>
      <c r="S33" s="1141"/>
    </row>
    <row r="34" spans="1:23" ht="18" customHeight="1" x14ac:dyDescent="0.15">
      <c r="B34" s="1050"/>
      <c r="C34" s="1094"/>
      <c r="D34" s="17" t="s">
        <v>97</v>
      </c>
      <c r="E34" s="27"/>
      <c r="F34" s="310">
        <v>0</v>
      </c>
      <c r="G34" s="1027" t="s">
        <v>189</v>
      </c>
      <c r="H34" s="1028"/>
      <c r="I34" s="1028"/>
      <c r="J34" s="1029"/>
      <c r="K34" s="1049"/>
      <c r="L34" s="182" t="s">
        <v>52</v>
      </c>
      <c r="M34" s="183"/>
      <c r="N34" s="167" t="s">
        <v>293</v>
      </c>
      <c r="O34" s="184"/>
      <c r="P34" s="182">
        <f>'８－３　露地アスパラガス算出基礎'!N23</f>
        <v>153384.83000000002</v>
      </c>
      <c r="Q34" s="1139"/>
      <c r="R34" s="1140"/>
      <c r="S34" s="1141"/>
    </row>
    <row r="35" spans="1:23" ht="18" customHeight="1" x14ac:dyDescent="0.15">
      <c r="B35" s="1050"/>
      <c r="C35" s="1094"/>
      <c r="D35" s="17" t="s">
        <v>133</v>
      </c>
      <c r="E35" s="18"/>
      <c r="F35" s="131">
        <f>'８－３　露地アスパラガス算出基礎'!V57</f>
        <v>1353.3333333333335</v>
      </c>
      <c r="G35" s="1126" t="s">
        <v>308</v>
      </c>
      <c r="H35" s="1127"/>
      <c r="I35" s="1127"/>
      <c r="J35" s="1128"/>
      <c r="K35" s="1049"/>
      <c r="L35" s="182" t="s">
        <v>245</v>
      </c>
      <c r="M35" s="183"/>
      <c r="N35" s="167"/>
      <c r="O35" s="184"/>
      <c r="P35" s="182">
        <f>'８－３　露地アスパラガス算出基礎'!N27</f>
        <v>0</v>
      </c>
      <c r="Q35" s="1139"/>
      <c r="R35" s="1140"/>
      <c r="S35" s="1141"/>
    </row>
    <row r="36" spans="1:23" ht="18" customHeight="1" x14ac:dyDescent="0.15">
      <c r="B36" s="1050"/>
      <c r="C36" s="1094"/>
      <c r="D36" s="36" t="s">
        <v>98</v>
      </c>
      <c r="E36" s="37"/>
      <c r="F36" s="311">
        <v>15840</v>
      </c>
      <c r="G36" s="253" t="s">
        <v>671</v>
      </c>
      <c r="H36" s="218"/>
      <c r="I36" s="219"/>
      <c r="J36" s="217"/>
      <c r="K36" s="1049"/>
      <c r="L36" s="182" t="s">
        <v>53</v>
      </c>
      <c r="M36" s="180"/>
      <c r="N36" s="167" t="s">
        <v>293</v>
      </c>
      <c r="O36" s="184"/>
      <c r="P36" s="182">
        <f>'８－３　露地アスパラガス算出基礎'!N31</f>
        <v>8064</v>
      </c>
      <c r="Q36" s="1139"/>
      <c r="R36" s="1140"/>
      <c r="S36" s="1141"/>
    </row>
    <row r="37" spans="1:23" ht="18" customHeight="1" thickBot="1" x14ac:dyDescent="0.2">
      <c r="B37" s="1050"/>
      <c r="C37" s="1094"/>
      <c r="D37" s="17" t="s">
        <v>72</v>
      </c>
      <c r="E37" s="18"/>
      <c r="F37" s="131">
        <f>'８－３　露地アスパラガス算出基礎'!N57</f>
        <v>605.73333333333323</v>
      </c>
      <c r="G37" s="1126" t="s">
        <v>308</v>
      </c>
      <c r="H37" s="1127"/>
      <c r="I37" s="1127"/>
      <c r="J37" s="1128"/>
      <c r="K37" s="1051"/>
      <c r="L37" s="123" t="s">
        <v>29</v>
      </c>
      <c r="M37" s="122"/>
      <c r="N37" s="123"/>
      <c r="O37" s="123"/>
      <c r="P37" s="123">
        <f>SUM(P30:P36)</f>
        <v>254713.64</v>
      </c>
      <c r="Q37" s="1057"/>
      <c r="R37" s="1058"/>
      <c r="S37" s="1059"/>
    </row>
    <row r="38" spans="1:23" s="117" customFormat="1" ht="18" customHeight="1" x14ac:dyDescent="0.15">
      <c r="A38" s="99"/>
      <c r="B38" s="1050"/>
      <c r="C38" s="1094"/>
      <c r="D38" s="17" t="s">
        <v>0</v>
      </c>
      <c r="E38" s="27"/>
      <c r="F38" s="131">
        <v>0</v>
      </c>
      <c r="G38" s="1103" t="s">
        <v>189</v>
      </c>
      <c r="H38" s="1104"/>
      <c r="I38" s="1104"/>
      <c r="J38" s="1121"/>
    </row>
    <row r="39" spans="1:23" s="117" customFormat="1" ht="18" customHeight="1" thickBot="1" x14ac:dyDescent="0.2">
      <c r="A39" s="99"/>
      <c r="B39" s="1080"/>
      <c r="C39" s="1095"/>
      <c r="D39" s="1098" t="s">
        <v>200</v>
      </c>
      <c r="E39" s="1099"/>
      <c r="F39" s="169">
        <f>SUM(F27:F38)</f>
        <v>1942381.0666666667</v>
      </c>
      <c r="G39" s="170"/>
      <c r="H39" s="171"/>
      <c r="I39" s="172"/>
      <c r="J39" s="173"/>
      <c r="T39" s="118"/>
    </row>
    <row r="40" spans="1:23" s="117" customFormat="1" ht="18" customHeight="1" x14ac:dyDescent="0.15">
      <c r="A40" s="99"/>
      <c r="B40" s="1081" t="s">
        <v>204</v>
      </c>
      <c r="C40" s="1084" t="s">
        <v>74</v>
      </c>
      <c r="D40" s="164" t="s">
        <v>132</v>
      </c>
      <c r="E40" s="165"/>
      <c r="F40" s="166">
        <v>0</v>
      </c>
      <c r="G40" s="167"/>
      <c r="H40" s="168"/>
      <c r="I40" s="168"/>
      <c r="J40" s="177"/>
      <c r="T40" s="100"/>
      <c r="U40" s="100"/>
      <c r="V40" s="100"/>
      <c r="W40" s="100"/>
    </row>
    <row r="41" spans="1:23" s="117" customFormat="1" ht="18" customHeight="1" x14ac:dyDescent="0.15">
      <c r="A41" s="99"/>
      <c r="B41" s="1082"/>
      <c r="C41" s="1148"/>
      <c r="D41" s="17" t="s">
        <v>131</v>
      </c>
      <c r="E41" s="18"/>
      <c r="F41" s="158">
        <v>0</v>
      </c>
      <c r="G41" s="167"/>
      <c r="H41" s="124"/>
      <c r="I41" s="124"/>
      <c r="J41" s="178"/>
      <c r="T41" s="119"/>
      <c r="U41" s="120"/>
      <c r="V41" s="121"/>
      <c r="W41" s="119"/>
    </row>
    <row r="42" spans="1:23" s="117" customFormat="1" ht="18" customHeight="1" x14ac:dyDescent="0.15">
      <c r="A42" s="99"/>
      <c r="B42" s="1082"/>
      <c r="C42" s="1086"/>
      <c r="D42" s="36" t="s">
        <v>73</v>
      </c>
      <c r="E42" s="18"/>
      <c r="F42" s="159">
        <v>0</v>
      </c>
      <c r="G42" s="167"/>
      <c r="H42" s="124"/>
      <c r="I42" s="124"/>
      <c r="J42" s="178"/>
      <c r="T42" s="100"/>
      <c r="U42" s="100"/>
      <c r="V42" s="100"/>
      <c r="W42" s="100"/>
    </row>
    <row r="43" spans="1:23" s="117" customFormat="1" ht="18" customHeight="1" x14ac:dyDescent="0.15">
      <c r="B43" s="1082"/>
      <c r="C43" s="1087" t="s">
        <v>203</v>
      </c>
      <c r="D43" s="36" t="s">
        <v>249</v>
      </c>
      <c r="E43" s="37"/>
      <c r="F43" s="159">
        <v>0</v>
      </c>
      <c r="G43" s="167"/>
      <c r="H43" s="124"/>
      <c r="I43" s="124"/>
      <c r="J43" s="178"/>
      <c r="T43" s="101"/>
      <c r="U43" s="118"/>
      <c r="V43" s="100"/>
      <c r="W43" s="119"/>
    </row>
    <row r="44" spans="1:23" s="117" customFormat="1" ht="18" customHeight="1" x14ac:dyDescent="0.15">
      <c r="B44" s="1082"/>
      <c r="C44" s="1149"/>
      <c r="D44" s="38" t="s">
        <v>1</v>
      </c>
      <c r="E44" s="39"/>
      <c r="F44" s="159">
        <v>0</v>
      </c>
      <c r="G44" s="167"/>
      <c r="H44" s="124"/>
      <c r="I44" s="124"/>
      <c r="J44" s="178"/>
      <c r="T44" s="101"/>
      <c r="U44" s="118"/>
      <c r="V44" s="100"/>
      <c r="W44" s="119"/>
    </row>
    <row r="45" spans="1:23" s="117" customFormat="1" ht="18" customHeight="1" thickBot="1" x14ac:dyDescent="0.2">
      <c r="B45" s="1083"/>
      <c r="C45" s="1089" t="s">
        <v>100</v>
      </c>
      <c r="D45" s="1090"/>
      <c r="E45" s="1091"/>
      <c r="F45" s="160">
        <f>SUM(F40:F42)-SUM(F43:F44)</f>
        <v>0</v>
      </c>
      <c r="G45" s="125"/>
      <c r="H45" s="126"/>
      <c r="I45" s="126"/>
      <c r="J45" s="179"/>
      <c r="T45" s="100"/>
      <c r="U45" s="100"/>
      <c r="V45" s="120"/>
      <c r="W45" s="100"/>
    </row>
  </sheetData>
  <mergeCells count="73">
    <mergeCell ref="B3:E3"/>
    <mergeCell ref="K3:S3"/>
    <mergeCell ref="B4:C5"/>
    <mergeCell ref="R4:S4"/>
    <mergeCell ref="R5:S5"/>
    <mergeCell ref="G4:J4"/>
    <mergeCell ref="Q36:S36"/>
    <mergeCell ref="R9:S9"/>
    <mergeCell ref="G10:J10"/>
    <mergeCell ref="R10:S10"/>
    <mergeCell ref="G11:J11"/>
    <mergeCell ref="R11:S11"/>
    <mergeCell ref="I13:J13"/>
    <mergeCell ref="Q13:S13"/>
    <mergeCell ref="I14:J14"/>
    <mergeCell ref="Q14:S14"/>
    <mergeCell ref="Q22:S22"/>
    <mergeCell ref="Q23:S23"/>
    <mergeCell ref="G35:J35"/>
    <mergeCell ref="K12:K37"/>
    <mergeCell ref="Q25:S25"/>
    <mergeCell ref="Q37:S37"/>
    <mergeCell ref="R6:S6"/>
    <mergeCell ref="R7:S7"/>
    <mergeCell ref="R8:S8"/>
    <mergeCell ref="Q30:S30"/>
    <mergeCell ref="D31:D32"/>
    <mergeCell ref="Q31:S31"/>
    <mergeCell ref="Q15:S15"/>
    <mergeCell ref="Q16:S16"/>
    <mergeCell ref="Q17:S17"/>
    <mergeCell ref="G15:J15"/>
    <mergeCell ref="G16:J16"/>
    <mergeCell ref="G17:J17"/>
    <mergeCell ref="G18:J18"/>
    <mergeCell ref="I20:J20"/>
    <mergeCell ref="Q18:S18"/>
    <mergeCell ref="B40:B45"/>
    <mergeCell ref="C40:C42"/>
    <mergeCell ref="C43:C44"/>
    <mergeCell ref="C45:E45"/>
    <mergeCell ref="B6:B39"/>
    <mergeCell ref="C27:C39"/>
    <mergeCell ref="D27:D29"/>
    <mergeCell ref="C6:C26"/>
    <mergeCell ref="D18:D21"/>
    <mergeCell ref="D13:D14"/>
    <mergeCell ref="D15:D17"/>
    <mergeCell ref="D22:D23"/>
    <mergeCell ref="D26:E26"/>
    <mergeCell ref="D39:E39"/>
    <mergeCell ref="Q35:S35"/>
    <mergeCell ref="Q12:S12"/>
    <mergeCell ref="G33:J33"/>
    <mergeCell ref="G34:J34"/>
    <mergeCell ref="Q29:S29"/>
    <mergeCell ref="Q26:S26"/>
    <mergeCell ref="Q27:S27"/>
    <mergeCell ref="Q28:S28"/>
    <mergeCell ref="G32:J32"/>
    <mergeCell ref="Q24:S24"/>
    <mergeCell ref="Q19:S19"/>
    <mergeCell ref="Q20:S20"/>
    <mergeCell ref="Q21:S21"/>
    <mergeCell ref="Q33:S33"/>
    <mergeCell ref="Q34:S34"/>
    <mergeCell ref="G38:J38"/>
    <mergeCell ref="G7:J7"/>
    <mergeCell ref="G8:J8"/>
    <mergeCell ref="G9:J9"/>
    <mergeCell ref="G30:J30"/>
    <mergeCell ref="G31:J31"/>
    <mergeCell ref="G37:J37"/>
  </mergeCells>
  <phoneticPr fontId="4"/>
  <pageMargins left="0.78740157480314965" right="0.78740157480314965" top="0.78740157480314965" bottom="0.78740157480314965" header="0.39370078740157483" footer="0.39370078740157483"/>
  <pageSetup paperSize="9" scale="65" orientation="landscape"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2"/>
  <sheetViews>
    <sheetView showZeros="0" zoomScale="75" zoomScaleNormal="75" zoomScaleSheetLayoutView="80" workbookViewId="0"/>
  </sheetViews>
  <sheetFormatPr defaultRowHeight="13.5" x14ac:dyDescent="0.15"/>
  <cols>
    <col min="1" max="1" width="1.625" style="43" customWidth="1"/>
    <col min="2" max="2" width="3.625" style="43" customWidth="1"/>
    <col min="3" max="3" width="19.5" style="43" customWidth="1"/>
    <col min="4" max="7" width="8.625" style="43" customWidth="1"/>
    <col min="8" max="8" width="2.375" style="154" customWidth="1"/>
    <col min="9" max="9" width="3.625" style="43" customWidth="1"/>
    <col min="10" max="10" width="15.625" style="43" customWidth="1"/>
    <col min="11" max="14" width="8.625" style="43" customWidth="1"/>
    <col min="15" max="15" width="3.5" style="43" customWidth="1"/>
    <col min="16" max="16" width="15.625" style="127" customWidth="1"/>
    <col min="17" max="17" width="8.625" style="43" customWidth="1"/>
    <col min="18" max="18" width="8.625" style="44" customWidth="1"/>
    <col min="19" max="21" width="8.625" style="43" customWidth="1"/>
    <col min="22" max="22" width="10.625" style="44" customWidth="1"/>
    <col min="23" max="262" width="9" style="43"/>
    <col min="263" max="263" width="1.375" style="43" customWidth="1"/>
    <col min="264" max="264" width="3.5" style="43" customWidth="1"/>
    <col min="265" max="265" width="22.125" style="43" customWidth="1"/>
    <col min="266" max="266" width="9.75" style="43" customWidth="1"/>
    <col min="267" max="267" width="7.375" style="43" customWidth="1"/>
    <col min="268" max="268" width="9" style="43"/>
    <col min="269" max="269" width="9.25" style="43" customWidth="1"/>
    <col min="270" max="270" width="3.5" style="43" customWidth="1"/>
    <col min="271" max="272" width="12.625" style="43" customWidth="1"/>
    <col min="273" max="273" width="9" style="43"/>
    <col min="274" max="274" width="7.75" style="43" customWidth="1"/>
    <col min="275" max="275" width="13.125" style="43" customWidth="1"/>
    <col min="276" max="276" width="6.125" style="43" customWidth="1"/>
    <col min="277" max="277" width="9.75" style="43" customWidth="1"/>
    <col min="278" max="278" width="1.375" style="43" customWidth="1"/>
    <col min="279" max="518" width="9" style="43"/>
    <col min="519" max="519" width="1.375" style="43" customWidth="1"/>
    <col min="520" max="520" width="3.5" style="43" customWidth="1"/>
    <col min="521" max="521" width="22.125" style="43" customWidth="1"/>
    <col min="522" max="522" width="9.75" style="43" customWidth="1"/>
    <col min="523" max="523" width="7.375" style="43" customWidth="1"/>
    <col min="524" max="524" width="9" style="43"/>
    <col min="525" max="525" width="9.25" style="43" customWidth="1"/>
    <col min="526" max="526" width="3.5" style="43" customWidth="1"/>
    <col min="527" max="528" width="12.625" style="43" customWidth="1"/>
    <col min="529" max="529" width="9" style="43"/>
    <col min="530" max="530" width="7.75" style="43" customWidth="1"/>
    <col min="531" max="531" width="13.125" style="43" customWidth="1"/>
    <col min="532" max="532" width="6.125" style="43" customWidth="1"/>
    <col min="533" max="533" width="9.75" style="43" customWidth="1"/>
    <col min="534" max="534" width="1.375" style="43" customWidth="1"/>
    <col min="535" max="774" width="9" style="43"/>
    <col min="775" max="775" width="1.375" style="43" customWidth="1"/>
    <col min="776" max="776" width="3.5" style="43" customWidth="1"/>
    <col min="777" max="777" width="22.125" style="43" customWidth="1"/>
    <col min="778" max="778" width="9.75" style="43" customWidth="1"/>
    <col min="779" max="779" width="7.375" style="43" customWidth="1"/>
    <col min="780" max="780" width="9" style="43"/>
    <col min="781" max="781" width="9.25" style="43" customWidth="1"/>
    <col min="782" max="782" width="3.5" style="43" customWidth="1"/>
    <col min="783" max="784" width="12.625" style="43" customWidth="1"/>
    <col min="785" max="785" width="9" style="43"/>
    <col min="786" max="786" width="7.75" style="43" customWidth="1"/>
    <col min="787" max="787" width="13.125" style="43" customWidth="1"/>
    <col min="788" max="788" width="6.125" style="43" customWidth="1"/>
    <col min="789" max="789" width="9.75" style="43" customWidth="1"/>
    <col min="790" max="790" width="1.375" style="43" customWidth="1"/>
    <col min="791" max="1030" width="9" style="43"/>
    <col min="1031" max="1031" width="1.375" style="43" customWidth="1"/>
    <col min="1032" max="1032" width="3.5" style="43" customWidth="1"/>
    <col min="1033" max="1033" width="22.125" style="43" customWidth="1"/>
    <col min="1034" max="1034" width="9.75" style="43" customWidth="1"/>
    <col min="1035" max="1035" width="7.375" style="43" customWidth="1"/>
    <col min="1036" max="1036" width="9" style="43"/>
    <col min="1037" max="1037" width="9.25" style="43" customWidth="1"/>
    <col min="1038" max="1038" width="3.5" style="43" customWidth="1"/>
    <col min="1039" max="1040" width="12.625" style="43" customWidth="1"/>
    <col min="1041" max="1041" width="9" style="43"/>
    <col min="1042" max="1042" width="7.75" style="43" customWidth="1"/>
    <col min="1043" max="1043" width="13.125" style="43" customWidth="1"/>
    <col min="1044" max="1044" width="6.125" style="43" customWidth="1"/>
    <col min="1045" max="1045" width="9.75" style="43" customWidth="1"/>
    <col min="1046" max="1046" width="1.375" style="43" customWidth="1"/>
    <col min="1047" max="1286" width="9" style="43"/>
    <col min="1287" max="1287" width="1.375" style="43" customWidth="1"/>
    <col min="1288" max="1288" width="3.5" style="43" customWidth="1"/>
    <col min="1289" max="1289" width="22.125" style="43" customWidth="1"/>
    <col min="1290" max="1290" width="9.75" style="43" customWidth="1"/>
    <col min="1291" max="1291" width="7.375" style="43" customWidth="1"/>
    <col min="1292" max="1292" width="9" style="43"/>
    <col min="1293" max="1293" width="9.25" style="43" customWidth="1"/>
    <col min="1294" max="1294" width="3.5" style="43" customWidth="1"/>
    <col min="1295" max="1296" width="12.625" style="43" customWidth="1"/>
    <col min="1297" max="1297" width="9" style="43"/>
    <col min="1298" max="1298" width="7.75" style="43" customWidth="1"/>
    <col min="1299" max="1299" width="13.125" style="43" customWidth="1"/>
    <col min="1300" max="1300" width="6.125" style="43" customWidth="1"/>
    <col min="1301" max="1301" width="9.75" style="43" customWidth="1"/>
    <col min="1302" max="1302" width="1.375" style="43" customWidth="1"/>
    <col min="1303" max="1542" width="9" style="43"/>
    <col min="1543" max="1543" width="1.375" style="43" customWidth="1"/>
    <col min="1544" max="1544" width="3.5" style="43" customWidth="1"/>
    <col min="1545" max="1545" width="22.125" style="43" customWidth="1"/>
    <col min="1546" max="1546" width="9.75" style="43" customWidth="1"/>
    <col min="1547" max="1547" width="7.375" style="43" customWidth="1"/>
    <col min="1548" max="1548" width="9" style="43"/>
    <col min="1549" max="1549" width="9.25" style="43" customWidth="1"/>
    <col min="1550" max="1550" width="3.5" style="43" customWidth="1"/>
    <col min="1551" max="1552" width="12.625" style="43" customWidth="1"/>
    <col min="1553" max="1553" width="9" style="43"/>
    <col min="1554" max="1554" width="7.75" style="43" customWidth="1"/>
    <col min="1555" max="1555" width="13.125" style="43" customWidth="1"/>
    <col min="1556" max="1556" width="6.125" style="43" customWidth="1"/>
    <col min="1557" max="1557" width="9.75" style="43" customWidth="1"/>
    <col min="1558" max="1558" width="1.375" style="43" customWidth="1"/>
    <col min="1559" max="1798" width="9" style="43"/>
    <col min="1799" max="1799" width="1.375" style="43" customWidth="1"/>
    <col min="1800" max="1800" width="3.5" style="43" customWidth="1"/>
    <col min="1801" max="1801" width="22.125" style="43" customWidth="1"/>
    <col min="1802" max="1802" width="9.75" style="43" customWidth="1"/>
    <col min="1803" max="1803" width="7.375" style="43" customWidth="1"/>
    <col min="1804" max="1804" width="9" style="43"/>
    <col min="1805" max="1805" width="9.25" style="43" customWidth="1"/>
    <col min="1806" max="1806" width="3.5" style="43" customWidth="1"/>
    <col min="1807" max="1808" width="12.625" style="43" customWidth="1"/>
    <col min="1809" max="1809" width="9" style="43"/>
    <col min="1810" max="1810" width="7.75" style="43" customWidth="1"/>
    <col min="1811" max="1811" width="13.125" style="43" customWidth="1"/>
    <col min="1812" max="1812" width="6.125" style="43" customWidth="1"/>
    <col min="1813" max="1813" width="9.75" style="43" customWidth="1"/>
    <col min="1814" max="1814" width="1.375" style="43" customWidth="1"/>
    <col min="1815" max="2054" width="9" style="43"/>
    <col min="2055" max="2055" width="1.375" style="43" customWidth="1"/>
    <col min="2056" max="2056" width="3.5" style="43" customWidth="1"/>
    <col min="2057" max="2057" width="22.125" style="43" customWidth="1"/>
    <col min="2058" max="2058" width="9.75" style="43" customWidth="1"/>
    <col min="2059" max="2059" width="7.375" style="43" customWidth="1"/>
    <col min="2060" max="2060" width="9" style="43"/>
    <col min="2061" max="2061" width="9.25" style="43" customWidth="1"/>
    <col min="2062" max="2062" width="3.5" style="43" customWidth="1"/>
    <col min="2063" max="2064" width="12.625" style="43" customWidth="1"/>
    <col min="2065" max="2065" width="9" style="43"/>
    <col min="2066" max="2066" width="7.75" style="43" customWidth="1"/>
    <col min="2067" max="2067" width="13.125" style="43" customWidth="1"/>
    <col min="2068" max="2068" width="6.125" style="43" customWidth="1"/>
    <col min="2069" max="2069" width="9.75" style="43" customWidth="1"/>
    <col min="2070" max="2070" width="1.375" style="43" customWidth="1"/>
    <col min="2071" max="2310" width="9" style="43"/>
    <col min="2311" max="2311" width="1.375" style="43" customWidth="1"/>
    <col min="2312" max="2312" width="3.5" style="43" customWidth="1"/>
    <col min="2313" max="2313" width="22.125" style="43" customWidth="1"/>
    <col min="2314" max="2314" width="9.75" style="43" customWidth="1"/>
    <col min="2315" max="2315" width="7.375" style="43" customWidth="1"/>
    <col min="2316" max="2316" width="9" style="43"/>
    <col min="2317" max="2317" width="9.25" style="43" customWidth="1"/>
    <col min="2318" max="2318" width="3.5" style="43" customWidth="1"/>
    <col min="2319" max="2320" width="12.625" style="43" customWidth="1"/>
    <col min="2321" max="2321" width="9" style="43"/>
    <col min="2322" max="2322" width="7.75" style="43" customWidth="1"/>
    <col min="2323" max="2323" width="13.125" style="43" customWidth="1"/>
    <col min="2324" max="2324" width="6.125" style="43" customWidth="1"/>
    <col min="2325" max="2325" width="9.75" style="43" customWidth="1"/>
    <col min="2326" max="2326" width="1.375" style="43" customWidth="1"/>
    <col min="2327" max="2566" width="9" style="43"/>
    <col min="2567" max="2567" width="1.375" style="43" customWidth="1"/>
    <col min="2568" max="2568" width="3.5" style="43" customWidth="1"/>
    <col min="2569" max="2569" width="22.125" style="43" customWidth="1"/>
    <col min="2570" max="2570" width="9.75" style="43" customWidth="1"/>
    <col min="2571" max="2571" width="7.375" style="43" customWidth="1"/>
    <col min="2572" max="2572" width="9" style="43"/>
    <col min="2573" max="2573" width="9.25" style="43" customWidth="1"/>
    <col min="2574" max="2574" width="3.5" style="43" customWidth="1"/>
    <col min="2575" max="2576" width="12.625" style="43" customWidth="1"/>
    <col min="2577" max="2577" width="9" style="43"/>
    <col min="2578" max="2578" width="7.75" style="43" customWidth="1"/>
    <col min="2579" max="2579" width="13.125" style="43" customWidth="1"/>
    <col min="2580" max="2580" width="6.125" style="43" customWidth="1"/>
    <col min="2581" max="2581" width="9.75" style="43" customWidth="1"/>
    <col min="2582" max="2582" width="1.375" style="43" customWidth="1"/>
    <col min="2583" max="2822" width="9" style="43"/>
    <col min="2823" max="2823" width="1.375" style="43" customWidth="1"/>
    <col min="2824" max="2824" width="3.5" style="43" customWidth="1"/>
    <col min="2825" max="2825" width="22.125" style="43" customWidth="1"/>
    <col min="2826" max="2826" width="9.75" style="43" customWidth="1"/>
    <col min="2827" max="2827" width="7.375" style="43" customWidth="1"/>
    <col min="2828" max="2828" width="9" style="43"/>
    <col min="2829" max="2829" width="9.25" style="43" customWidth="1"/>
    <col min="2830" max="2830" width="3.5" style="43" customWidth="1"/>
    <col min="2831" max="2832" width="12.625" style="43" customWidth="1"/>
    <col min="2833" max="2833" width="9" style="43"/>
    <col min="2834" max="2834" width="7.75" style="43" customWidth="1"/>
    <col min="2835" max="2835" width="13.125" style="43" customWidth="1"/>
    <col min="2836" max="2836" width="6.125" style="43" customWidth="1"/>
    <col min="2837" max="2837" width="9.75" style="43" customWidth="1"/>
    <col min="2838" max="2838" width="1.375" style="43" customWidth="1"/>
    <col min="2839" max="3078" width="9" style="43"/>
    <col min="3079" max="3079" width="1.375" style="43" customWidth="1"/>
    <col min="3080" max="3080" width="3.5" style="43" customWidth="1"/>
    <col min="3081" max="3081" width="22.125" style="43" customWidth="1"/>
    <col min="3082" max="3082" width="9.75" style="43" customWidth="1"/>
    <col min="3083" max="3083" width="7.375" style="43" customWidth="1"/>
    <col min="3084" max="3084" width="9" style="43"/>
    <col min="3085" max="3085" width="9.25" style="43" customWidth="1"/>
    <col min="3086" max="3086" width="3.5" style="43" customWidth="1"/>
    <col min="3087" max="3088" width="12.625" style="43" customWidth="1"/>
    <col min="3089" max="3089" width="9" style="43"/>
    <col min="3090" max="3090" width="7.75" style="43" customWidth="1"/>
    <col min="3091" max="3091" width="13.125" style="43" customWidth="1"/>
    <col min="3092" max="3092" width="6.125" style="43" customWidth="1"/>
    <col min="3093" max="3093" width="9.75" style="43" customWidth="1"/>
    <col min="3094" max="3094" width="1.375" style="43" customWidth="1"/>
    <col min="3095" max="3334" width="9" style="43"/>
    <col min="3335" max="3335" width="1.375" style="43" customWidth="1"/>
    <col min="3336" max="3336" width="3.5" style="43" customWidth="1"/>
    <col min="3337" max="3337" width="22.125" style="43" customWidth="1"/>
    <col min="3338" max="3338" width="9.75" style="43" customWidth="1"/>
    <col min="3339" max="3339" width="7.375" style="43" customWidth="1"/>
    <col min="3340" max="3340" width="9" style="43"/>
    <col min="3341" max="3341" width="9.25" style="43" customWidth="1"/>
    <col min="3342" max="3342" width="3.5" style="43" customWidth="1"/>
    <col min="3343" max="3344" width="12.625" style="43" customWidth="1"/>
    <col min="3345" max="3345" width="9" style="43"/>
    <col min="3346" max="3346" width="7.75" style="43" customWidth="1"/>
    <col min="3347" max="3347" width="13.125" style="43" customWidth="1"/>
    <col min="3348" max="3348" width="6.125" style="43" customWidth="1"/>
    <col min="3349" max="3349" width="9.75" style="43" customWidth="1"/>
    <col min="3350" max="3350" width="1.375" style="43" customWidth="1"/>
    <col min="3351" max="3590" width="9" style="43"/>
    <col min="3591" max="3591" width="1.375" style="43" customWidth="1"/>
    <col min="3592" max="3592" width="3.5" style="43" customWidth="1"/>
    <col min="3593" max="3593" width="22.125" style="43" customWidth="1"/>
    <col min="3594" max="3594" width="9.75" style="43" customWidth="1"/>
    <col min="3595" max="3595" width="7.375" style="43" customWidth="1"/>
    <col min="3596" max="3596" width="9" style="43"/>
    <col min="3597" max="3597" width="9.25" style="43" customWidth="1"/>
    <col min="3598" max="3598" width="3.5" style="43" customWidth="1"/>
    <col min="3599" max="3600" width="12.625" style="43" customWidth="1"/>
    <col min="3601" max="3601" width="9" style="43"/>
    <col min="3602" max="3602" width="7.75" style="43" customWidth="1"/>
    <col min="3603" max="3603" width="13.125" style="43" customWidth="1"/>
    <col min="3604" max="3604" width="6.125" style="43" customWidth="1"/>
    <col min="3605" max="3605" width="9.75" style="43" customWidth="1"/>
    <col min="3606" max="3606" width="1.375" style="43" customWidth="1"/>
    <col min="3607" max="3846" width="9" style="43"/>
    <col min="3847" max="3847" width="1.375" style="43" customWidth="1"/>
    <col min="3848" max="3848" width="3.5" style="43" customWidth="1"/>
    <col min="3849" max="3849" width="22.125" style="43" customWidth="1"/>
    <col min="3850" max="3850" width="9.75" style="43" customWidth="1"/>
    <col min="3851" max="3851" width="7.375" style="43" customWidth="1"/>
    <col min="3852" max="3852" width="9" style="43"/>
    <col min="3853" max="3853" width="9.25" style="43" customWidth="1"/>
    <col min="3854" max="3854" width="3.5" style="43" customWidth="1"/>
    <col min="3855" max="3856" width="12.625" style="43" customWidth="1"/>
    <col min="3857" max="3857" width="9" style="43"/>
    <col min="3858" max="3858" width="7.75" style="43" customWidth="1"/>
    <col min="3859" max="3859" width="13.125" style="43" customWidth="1"/>
    <col min="3860" max="3860" width="6.125" style="43" customWidth="1"/>
    <col min="3861" max="3861" width="9.75" style="43" customWidth="1"/>
    <col min="3862" max="3862" width="1.375" style="43" customWidth="1"/>
    <col min="3863" max="4102" width="9" style="43"/>
    <col min="4103" max="4103" width="1.375" style="43" customWidth="1"/>
    <col min="4104" max="4104" width="3.5" style="43" customWidth="1"/>
    <col min="4105" max="4105" width="22.125" style="43" customWidth="1"/>
    <col min="4106" max="4106" width="9.75" style="43" customWidth="1"/>
    <col min="4107" max="4107" width="7.375" style="43" customWidth="1"/>
    <col min="4108" max="4108" width="9" style="43"/>
    <col min="4109" max="4109" width="9.25" style="43" customWidth="1"/>
    <col min="4110" max="4110" width="3.5" style="43" customWidth="1"/>
    <col min="4111" max="4112" width="12.625" style="43" customWidth="1"/>
    <col min="4113" max="4113" width="9" style="43"/>
    <col min="4114" max="4114" width="7.75" style="43" customWidth="1"/>
    <col min="4115" max="4115" width="13.125" style="43" customWidth="1"/>
    <col min="4116" max="4116" width="6.125" style="43" customWidth="1"/>
    <col min="4117" max="4117" width="9.75" style="43" customWidth="1"/>
    <col min="4118" max="4118" width="1.375" style="43" customWidth="1"/>
    <col min="4119" max="4358" width="9" style="43"/>
    <col min="4359" max="4359" width="1.375" style="43" customWidth="1"/>
    <col min="4360" max="4360" width="3.5" style="43" customWidth="1"/>
    <col min="4361" max="4361" width="22.125" style="43" customWidth="1"/>
    <col min="4362" max="4362" width="9.75" style="43" customWidth="1"/>
    <col min="4363" max="4363" width="7.375" style="43" customWidth="1"/>
    <col min="4364" max="4364" width="9" style="43"/>
    <col min="4365" max="4365" width="9.25" style="43" customWidth="1"/>
    <col min="4366" max="4366" width="3.5" style="43" customWidth="1"/>
    <col min="4367" max="4368" width="12.625" style="43" customWidth="1"/>
    <col min="4369" max="4369" width="9" style="43"/>
    <col min="4370" max="4370" width="7.75" style="43" customWidth="1"/>
    <col min="4371" max="4371" width="13.125" style="43" customWidth="1"/>
    <col min="4372" max="4372" width="6.125" style="43" customWidth="1"/>
    <col min="4373" max="4373" width="9.75" style="43" customWidth="1"/>
    <col min="4374" max="4374" width="1.375" style="43" customWidth="1"/>
    <col min="4375" max="4614" width="9" style="43"/>
    <col min="4615" max="4615" width="1.375" style="43" customWidth="1"/>
    <col min="4616" max="4616" width="3.5" style="43" customWidth="1"/>
    <col min="4617" max="4617" width="22.125" style="43" customWidth="1"/>
    <col min="4618" max="4618" width="9.75" style="43" customWidth="1"/>
    <col min="4619" max="4619" width="7.375" style="43" customWidth="1"/>
    <col min="4620" max="4620" width="9" style="43"/>
    <col min="4621" max="4621" width="9.25" style="43" customWidth="1"/>
    <col min="4622" max="4622" width="3.5" style="43" customWidth="1"/>
    <col min="4623" max="4624" width="12.625" style="43" customWidth="1"/>
    <col min="4625" max="4625" width="9" style="43"/>
    <col min="4626" max="4626" width="7.75" style="43" customWidth="1"/>
    <col min="4627" max="4627" width="13.125" style="43" customWidth="1"/>
    <col min="4628" max="4628" width="6.125" style="43" customWidth="1"/>
    <col min="4629" max="4629" width="9.75" style="43" customWidth="1"/>
    <col min="4630" max="4630" width="1.375" style="43" customWidth="1"/>
    <col min="4631" max="4870" width="9" style="43"/>
    <col min="4871" max="4871" width="1.375" style="43" customWidth="1"/>
    <col min="4872" max="4872" width="3.5" style="43" customWidth="1"/>
    <col min="4873" max="4873" width="22.125" style="43" customWidth="1"/>
    <col min="4874" max="4874" width="9.75" style="43" customWidth="1"/>
    <col min="4875" max="4875" width="7.375" style="43" customWidth="1"/>
    <col min="4876" max="4876" width="9" style="43"/>
    <col min="4877" max="4877" width="9.25" style="43" customWidth="1"/>
    <col min="4878" max="4878" width="3.5" style="43" customWidth="1"/>
    <col min="4879" max="4880" width="12.625" style="43" customWidth="1"/>
    <col min="4881" max="4881" width="9" style="43"/>
    <col min="4882" max="4882" width="7.75" style="43" customWidth="1"/>
    <col min="4883" max="4883" width="13.125" style="43" customWidth="1"/>
    <col min="4884" max="4884" width="6.125" style="43" customWidth="1"/>
    <col min="4885" max="4885" width="9.75" style="43" customWidth="1"/>
    <col min="4886" max="4886" width="1.375" style="43" customWidth="1"/>
    <col min="4887" max="5126" width="9" style="43"/>
    <col min="5127" max="5127" width="1.375" style="43" customWidth="1"/>
    <col min="5128" max="5128" width="3.5" style="43" customWidth="1"/>
    <col min="5129" max="5129" width="22.125" style="43" customWidth="1"/>
    <col min="5130" max="5130" width="9.75" style="43" customWidth="1"/>
    <col min="5131" max="5131" width="7.375" style="43" customWidth="1"/>
    <col min="5132" max="5132" width="9" style="43"/>
    <col min="5133" max="5133" width="9.25" style="43" customWidth="1"/>
    <col min="5134" max="5134" width="3.5" style="43" customWidth="1"/>
    <col min="5135" max="5136" width="12.625" style="43" customWidth="1"/>
    <col min="5137" max="5137" width="9" style="43"/>
    <col min="5138" max="5138" width="7.75" style="43" customWidth="1"/>
    <col min="5139" max="5139" width="13.125" style="43" customWidth="1"/>
    <col min="5140" max="5140" width="6.125" style="43" customWidth="1"/>
    <col min="5141" max="5141" width="9.75" style="43" customWidth="1"/>
    <col min="5142" max="5142" width="1.375" style="43" customWidth="1"/>
    <col min="5143" max="5382" width="9" style="43"/>
    <col min="5383" max="5383" width="1.375" style="43" customWidth="1"/>
    <col min="5384" max="5384" width="3.5" style="43" customWidth="1"/>
    <col min="5385" max="5385" width="22.125" style="43" customWidth="1"/>
    <col min="5386" max="5386" width="9.75" style="43" customWidth="1"/>
    <col min="5387" max="5387" width="7.375" style="43" customWidth="1"/>
    <col min="5388" max="5388" width="9" style="43"/>
    <col min="5389" max="5389" width="9.25" style="43" customWidth="1"/>
    <col min="5390" max="5390" width="3.5" style="43" customWidth="1"/>
    <col min="5391" max="5392" width="12.625" style="43" customWidth="1"/>
    <col min="5393" max="5393" width="9" style="43"/>
    <col min="5394" max="5394" width="7.75" style="43" customWidth="1"/>
    <col min="5395" max="5395" width="13.125" style="43" customWidth="1"/>
    <col min="5396" max="5396" width="6.125" style="43" customWidth="1"/>
    <col min="5397" max="5397" width="9.75" style="43" customWidth="1"/>
    <col min="5398" max="5398" width="1.375" style="43" customWidth="1"/>
    <col min="5399" max="5638" width="9" style="43"/>
    <col min="5639" max="5639" width="1.375" style="43" customWidth="1"/>
    <col min="5640" max="5640" width="3.5" style="43" customWidth="1"/>
    <col min="5641" max="5641" width="22.125" style="43" customWidth="1"/>
    <col min="5642" max="5642" width="9.75" style="43" customWidth="1"/>
    <col min="5643" max="5643" width="7.375" style="43" customWidth="1"/>
    <col min="5644" max="5644" width="9" style="43"/>
    <col min="5645" max="5645" width="9.25" style="43" customWidth="1"/>
    <col min="5646" max="5646" width="3.5" style="43" customWidth="1"/>
    <col min="5647" max="5648" width="12.625" style="43" customWidth="1"/>
    <col min="5649" max="5649" width="9" style="43"/>
    <col min="5650" max="5650" width="7.75" style="43" customWidth="1"/>
    <col min="5651" max="5651" width="13.125" style="43" customWidth="1"/>
    <col min="5652" max="5652" width="6.125" style="43" customWidth="1"/>
    <col min="5653" max="5653" width="9.75" style="43" customWidth="1"/>
    <col min="5654" max="5654" width="1.375" style="43" customWidth="1"/>
    <col min="5655" max="5894" width="9" style="43"/>
    <col min="5895" max="5895" width="1.375" style="43" customWidth="1"/>
    <col min="5896" max="5896" width="3.5" style="43" customWidth="1"/>
    <col min="5897" max="5897" width="22.125" style="43" customWidth="1"/>
    <col min="5898" max="5898" width="9.75" style="43" customWidth="1"/>
    <col min="5899" max="5899" width="7.375" style="43" customWidth="1"/>
    <col min="5900" max="5900" width="9" style="43"/>
    <col min="5901" max="5901" width="9.25" style="43" customWidth="1"/>
    <col min="5902" max="5902" width="3.5" style="43" customWidth="1"/>
    <col min="5903" max="5904" width="12.625" style="43" customWidth="1"/>
    <col min="5905" max="5905" width="9" style="43"/>
    <col min="5906" max="5906" width="7.75" style="43" customWidth="1"/>
    <col min="5907" max="5907" width="13.125" style="43" customWidth="1"/>
    <col min="5908" max="5908" width="6.125" style="43" customWidth="1"/>
    <col min="5909" max="5909" width="9.75" style="43" customWidth="1"/>
    <col min="5910" max="5910" width="1.375" style="43" customWidth="1"/>
    <col min="5911" max="6150" width="9" style="43"/>
    <col min="6151" max="6151" width="1.375" style="43" customWidth="1"/>
    <col min="6152" max="6152" width="3.5" style="43" customWidth="1"/>
    <col min="6153" max="6153" width="22.125" style="43" customWidth="1"/>
    <col min="6154" max="6154" width="9.75" style="43" customWidth="1"/>
    <col min="6155" max="6155" width="7.375" style="43" customWidth="1"/>
    <col min="6156" max="6156" width="9" style="43"/>
    <col min="6157" max="6157" width="9.25" style="43" customWidth="1"/>
    <col min="6158" max="6158" width="3.5" style="43" customWidth="1"/>
    <col min="6159" max="6160" width="12.625" style="43" customWidth="1"/>
    <col min="6161" max="6161" width="9" style="43"/>
    <col min="6162" max="6162" width="7.75" style="43" customWidth="1"/>
    <col min="6163" max="6163" width="13.125" style="43" customWidth="1"/>
    <col min="6164" max="6164" width="6.125" style="43" customWidth="1"/>
    <col min="6165" max="6165" width="9.75" style="43" customWidth="1"/>
    <col min="6166" max="6166" width="1.375" style="43" customWidth="1"/>
    <col min="6167" max="6406" width="9" style="43"/>
    <col min="6407" max="6407" width="1.375" style="43" customWidth="1"/>
    <col min="6408" max="6408" width="3.5" style="43" customWidth="1"/>
    <col min="6409" max="6409" width="22.125" style="43" customWidth="1"/>
    <col min="6410" max="6410" width="9.75" style="43" customWidth="1"/>
    <col min="6411" max="6411" width="7.375" style="43" customWidth="1"/>
    <col min="6412" max="6412" width="9" style="43"/>
    <col min="6413" max="6413" width="9.25" style="43" customWidth="1"/>
    <col min="6414" max="6414" width="3.5" style="43" customWidth="1"/>
    <col min="6415" max="6416" width="12.625" style="43" customWidth="1"/>
    <col min="6417" max="6417" width="9" style="43"/>
    <col min="6418" max="6418" width="7.75" style="43" customWidth="1"/>
    <col min="6419" max="6419" width="13.125" style="43" customWidth="1"/>
    <col min="6420" max="6420" width="6.125" style="43" customWidth="1"/>
    <col min="6421" max="6421" width="9.75" style="43" customWidth="1"/>
    <col min="6422" max="6422" width="1.375" style="43" customWidth="1"/>
    <col min="6423" max="6662" width="9" style="43"/>
    <col min="6663" max="6663" width="1.375" style="43" customWidth="1"/>
    <col min="6664" max="6664" width="3.5" style="43" customWidth="1"/>
    <col min="6665" max="6665" width="22.125" style="43" customWidth="1"/>
    <col min="6666" max="6666" width="9.75" style="43" customWidth="1"/>
    <col min="6667" max="6667" width="7.375" style="43" customWidth="1"/>
    <col min="6668" max="6668" width="9" style="43"/>
    <col min="6669" max="6669" width="9.25" style="43" customWidth="1"/>
    <col min="6670" max="6670" width="3.5" style="43" customWidth="1"/>
    <col min="6671" max="6672" width="12.625" style="43" customWidth="1"/>
    <col min="6673" max="6673" width="9" style="43"/>
    <col min="6674" max="6674" width="7.75" style="43" customWidth="1"/>
    <col min="6675" max="6675" width="13.125" style="43" customWidth="1"/>
    <col min="6676" max="6676" width="6.125" style="43" customWidth="1"/>
    <col min="6677" max="6677" width="9.75" style="43" customWidth="1"/>
    <col min="6678" max="6678" width="1.375" style="43" customWidth="1"/>
    <col min="6679" max="6918" width="9" style="43"/>
    <col min="6919" max="6919" width="1.375" style="43" customWidth="1"/>
    <col min="6920" max="6920" width="3.5" style="43" customWidth="1"/>
    <col min="6921" max="6921" width="22.125" style="43" customWidth="1"/>
    <col min="6922" max="6922" width="9.75" style="43" customWidth="1"/>
    <col min="6923" max="6923" width="7.375" style="43" customWidth="1"/>
    <col min="6924" max="6924" width="9" style="43"/>
    <col min="6925" max="6925" width="9.25" style="43" customWidth="1"/>
    <col min="6926" max="6926" width="3.5" style="43" customWidth="1"/>
    <col min="6927" max="6928" width="12.625" style="43" customWidth="1"/>
    <col min="6929" max="6929" width="9" style="43"/>
    <col min="6930" max="6930" width="7.75" style="43" customWidth="1"/>
    <col min="6931" max="6931" width="13.125" style="43" customWidth="1"/>
    <col min="6932" max="6932" width="6.125" style="43" customWidth="1"/>
    <col min="6933" max="6933" width="9.75" style="43" customWidth="1"/>
    <col min="6934" max="6934" width="1.375" style="43" customWidth="1"/>
    <col min="6935" max="7174" width="9" style="43"/>
    <col min="7175" max="7175" width="1.375" style="43" customWidth="1"/>
    <col min="7176" max="7176" width="3.5" style="43" customWidth="1"/>
    <col min="7177" max="7177" width="22.125" style="43" customWidth="1"/>
    <col min="7178" max="7178" width="9.75" style="43" customWidth="1"/>
    <col min="7179" max="7179" width="7.375" style="43" customWidth="1"/>
    <col min="7180" max="7180" width="9" style="43"/>
    <col min="7181" max="7181" width="9.25" style="43" customWidth="1"/>
    <col min="7182" max="7182" width="3.5" style="43" customWidth="1"/>
    <col min="7183" max="7184" width="12.625" style="43" customWidth="1"/>
    <col min="7185" max="7185" width="9" style="43"/>
    <col min="7186" max="7186" width="7.75" style="43" customWidth="1"/>
    <col min="7187" max="7187" width="13.125" style="43" customWidth="1"/>
    <col min="7188" max="7188" width="6.125" style="43" customWidth="1"/>
    <col min="7189" max="7189" width="9.75" style="43" customWidth="1"/>
    <col min="7190" max="7190" width="1.375" style="43" customWidth="1"/>
    <col min="7191" max="7430" width="9" style="43"/>
    <col min="7431" max="7431" width="1.375" style="43" customWidth="1"/>
    <col min="7432" max="7432" width="3.5" style="43" customWidth="1"/>
    <col min="7433" max="7433" width="22.125" style="43" customWidth="1"/>
    <col min="7434" max="7434" width="9.75" style="43" customWidth="1"/>
    <col min="7435" max="7435" width="7.375" style="43" customWidth="1"/>
    <col min="7436" max="7436" width="9" style="43"/>
    <col min="7437" max="7437" width="9.25" style="43" customWidth="1"/>
    <col min="7438" max="7438" width="3.5" style="43" customWidth="1"/>
    <col min="7439" max="7440" width="12.625" style="43" customWidth="1"/>
    <col min="7441" max="7441" width="9" style="43"/>
    <col min="7442" max="7442" width="7.75" style="43" customWidth="1"/>
    <col min="7443" max="7443" width="13.125" style="43" customWidth="1"/>
    <col min="7444" max="7444" width="6.125" style="43" customWidth="1"/>
    <col min="7445" max="7445" width="9.75" style="43" customWidth="1"/>
    <col min="7446" max="7446" width="1.375" style="43" customWidth="1"/>
    <col min="7447" max="7686" width="9" style="43"/>
    <col min="7687" max="7687" width="1.375" style="43" customWidth="1"/>
    <col min="7688" max="7688" width="3.5" style="43" customWidth="1"/>
    <col min="7689" max="7689" width="22.125" style="43" customWidth="1"/>
    <col min="7690" max="7690" width="9.75" style="43" customWidth="1"/>
    <col min="7691" max="7691" width="7.375" style="43" customWidth="1"/>
    <col min="7692" max="7692" width="9" style="43"/>
    <col min="7693" max="7693" width="9.25" style="43" customWidth="1"/>
    <col min="7694" max="7694" width="3.5" style="43" customWidth="1"/>
    <col min="7695" max="7696" width="12.625" style="43" customWidth="1"/>
    <col min="7697" max="7697" width="9" style="43"/>
    <col min="7698" max="7698" width="7.75" style="43" customWidth="1"/>
    <col min="7699" max="7699" width="13.125" style="43" customWidth="1"/>
    <col min="7700" max="7700" width="6.125" style="43" customWidth="1"/>
    <col min="7701" max="7701" width="9.75" style="43" customWidth="1"/>
    <col min="7702" max="7702" width="1.375" style="43" customWidth="1"/>
    <col min="7703" max="7942" width="9" style="43"/>
    <col min="7943" max="7943" width="1.375" style="43" customWidth="1"/>
    <col min="7944" max="7944" width="3.5" style="43" customWidth="1"/>
    <col min="7945" max="7945" width="22.125" style="43" customWidth="1"/>
    <col min="7946" max="7946" width="9.75" style="43" customWidth="1"/>
    <col min="7947" max="7947" width="7.375" style="43" customWidth="1"/>
    <col min="7948" max="7948" width="9" style="43"/>
    <col min="7949" max="7949" width="9.25" style="43" customWidth="1"/>
    <col min="7950" max="7950" width="3.5" style="43" customWidth="1"/>
    <col min="7951" max="7952" width="12.625" style="43" customWidth="1"/>
    <col min="7953" max="7953" width="9" style="43"/>
    <col min="7954" max="7954" width="7.75" style="43" customWidth="1"/>
    <col min="7955" max="7955" width="13.125" style="43" customWidth="1"/>
    <col min="7956" max="7956" width="6.125" style="43" customWidth="1"/>
    <col min="7957" max="7957" width="9.75" style="43" customWidth="1"/>
    <col min="7958" max="7958" width="1.375" style="43" customWidth="1"/>
    <col min="7959" max="8198" width="9" style="43"/>
    <col min="8199" max="8199" width="1.375" style="43" customWidth="1"/>
    <col min="8200" max="8200" width="3.5" style="43" customWidth="1"/>
    <col min="8201" max="8201" width="22.125" style="43" customWidth="1"/>
    <col min="8202" max="8202" width="9.75" style="43" customWidth="1"/>
    <col min="8203" max="8203" width="7.375" style="43" customWidth="1"/>
    <col min="8204" max="8204" width="9" style="43"/>
    <col min="8205" max="8205" width="9.25" style="43" customWidth="1"/>
    <col min="8206" max="8206" width="3.5" style="43" customWidth="1"/>
    <col min="8207" max="8208" width="12.625" style="43" customWidth="1"/>
    <col min="8209" max="8209" width="9" style="43"/>
    <col min="8210" max="8210" width="7.75" style="43" customWidth="1"/>
    <col min="8211" max="8211" width="13.125" style="43" customWidth="1"/>
    <col min="8212" max="8212" width="6.125" style="43" customWidth="1"/>
    <col min="8213" max="8213" width="9.75" style="43" customWidth="1"/>
    <col min="8214" max="8214" width="1.375" style="43" customWidth="1"/>
    <col min="8215" max="8454" width="9" style="43"/>
    <col min="8455" max="8455" width="1.375" style="43" customWidth="1"/>
    <col min="8456" max="8456" width="3.5" style="43" customWidth="1"/>
    <col min="8457" max="8457" width="22.125" style="43" customWidth="1"/>
    <col min="8458" max="8458" width="9.75" style="43" customWidth="1"/>
    <col min="8459" max="8459" width="7.375" style="43" customWidth="1"/>
    <col min="8460" max="8460" width="9" style="43"/>
    <col min="8461" max="8461" width="9.25" style="43" customWidth="1"/>
    <col min="8462" max="8462" width="3.5" style="43" customWidth="1"/>
    <col min="8463" max="8464" width="12.625" style="43" customWidth="1"/>
    <col min="8465" max="8465" width="9" style="43"/>
    <col min="8466" max="8466" width="7.75" style="43" customWidth="1"/>
    <col min="8467" max="8467" width="13.125" style="43" customWidth="1"/>
    <col min="8468" max="8468" width="6.125" style="43" customWidth="1"/>
    <col min="8469" max="8469" width="9.75" style="43" customWidth="1"/>
    <col min="8470" max="8470" width="1.375" style="43" customWidth="1"/>
    <col min="8471" max="8710" width="9" style="43"/>
    <col min="8711" max="8711" width="1.375" style="43" customWidth="1"/>
    <col min="8712" max="8712" width="3.5" style="43" customWidth="1"/>
    <col min="8713" max="8713" width="22.125" style="43" customWidth="1"/>
    <col min="8714" max="8714" width="9.75" style="43" customWidth="1"/>
    <col min="8715" max="8715" width="7.375" style="43" customWidth="1"/>
    <col min="8716" max="8716" width="9" style="43"/>
    <col min="8717" max="8717" width="9.25" style="43" customWidth="1"/>
    <col min="8718" max="8718" width="3.5" style="43" customWidth="1"/>
    <col min="8719" max="8720" width="12.625" style="43" customWidth="1"/>
    <col min="8721" max="8721" width="9" style="43"/>
    <col min="8722" max="8722" width="7.75" style="43" customWidth="1"/>
    <col min="8723" max="8723" width="13.125" style="43" customWidth="1"/>
    <col min="8724" max="8724" width="6.125" style="43" customWidth="1"/>
    <col min="8725" max="8725" width="9.75" style="43" customWidth="1"/>
    <col min="8726" max="8726" width="1.375" style="43" customWidth="1"/>
    <col min="8727" max="8966" width="9" style="43"/>
    <col min="8967" max="8967" width="1.375" style="43" customWidth="1"/>
    <col min="8968" max="8968" width="3.5" style="43" customWidth="1"/>
    <col min="8969" max="8969" width="22.125" style="43" customWidth="1"/>
    <col min="8970" max="8970" width="9.75" style="43" customWidth="1"/>
    <col min="8971" max="8971" width="7.375" style="43" customWidth="1"/>
    <col min="8972" max="8972" width="9" style="43"/>
    <col min="8973" max="8973" width="9.25" style="43" customWidth="1"/>
    <col min="8974" max="8974" width="3.5" style="43" customWidth="1"/>
    <col min="8975" max="8976" width="12.625" style="43" customWidth="1"/>
    <col min="8977" max="8977" width="9" style="43"/>
    <col min="8978" max="8978" width="7.75" style="43" customWidth="1"/>
    <col min="8979" max="8979" width="13.125" style="43" customWidth="1"/>
    <col min="8980" max="8980" width="6.125" style="43" customWidth="1"/>
    <col min="8981" max="8981" width="9.75" style="43" customWidth="1"/>
    <col min="8982" max="8982" width="1.375" style="43" customWidth="1"/>
    <col min="8983" max="9222" width="9" style="43"/>
    <col min="9223" max="9223" width="1.375" style="43" customWidth="1"/>
    <col min="9224" max="9224" width="3.5" style="43" customWidth="1"/>
    <col min="9225" max="9225" width="22.125" style="43" customWidth="1"/>
    <col min="9226" max="9226" width="9.75" style="43" customWidth="1"/>
    <col min="9227" max="9227" width="7.375" style="43" customWidth="1"/>
    <col min="9228" max="9228" width="9" style="43"/>
    <col min="9229" max="9229" width="9.25" style="43" customWidth="1"/>
    <col min="9230" max="9230" width="3.5" style="43" customWidth="1"/>
    <col min="9231" max="9232" width="12.625" style="43" customWidth="1"/>
    <col min="9233" max="9233" width="9" style="43"/>
    <col min="9234" max="9234" width="7.75" style="43" customWidth="1"/>
    <col min="9235" max="9235" width="13.125" style="43" customWidth="1"/>
    <col min="9236" max="9236" width="6.125" style="43" customWidth="1"/>
    <col min="9237" max="9237" width="9.75" style="43" customWidth="1"/>
    <col min="9238" max="9238" width="1.375" style="43" customWidth="1"/>
    <col min="9239" max="9478" width="9" style="43"/>
    <col min="9479" max="9479" width="1.375" style="43" customWidth="1"/>
    <col min="9480" max="9480" width="3.5" style="43" customWidth="1"/>
    <col min="9481" max="9481" width="22.125" style="43" customWidth="1"/>
    <col min="9482" max="9482" width="9.75" style="43" customWidth="1"/>
    <col min="9483" max="9483" width="7.375" style="43" customWidth="1"/>
    <col min="9484" max="9484" width="9" style="43"/>
    <col min="9485" max="9485" width="9.25" style="43" customWidth="1"/>
    <col min="9486" max="9486" width="3.5" style="43" customWidth="1"/>
    <col min="9487" max="9488" width="12.625" style="43" customWidth="1"/>
    <col min="9489" max="9489" width="9" style="43"/>
    <col min="9490" max="9490" width="7.75" style="43" customWidth="1"/>
    <col min="9491" max="9491" width="13.125" style="43" customWidth="1"/>
    <col min="9492" max="9492" width="6.125" style="43" customWidth="1"/>
    <col min="9493" max="9493" width="9.75" style="43" customWidth="1"/>
    <col min="9494" max="9494" width="1.375" style="43" customWidth="1"/>
    <col min="9495" max="9734" width="9" style="43"/>
    <col min="9735" max="9735" width="1.375" style="43" customWidth="1"/>
    <col min="9736" max="9736" width="3.5" style="43" customWidth="1"/>
    <col min="9737" max="9737" width="22.125" style="43" customWidth="1"/>
    <col min="9738" max="9738" width="9.75" style="43" customWidth="1"/>
    <col min="9739" max="9739" width="7.375" style="43" customWidth="1"/>
    <col min="9740" max="9740" width="9" style="43"/>
    <col min="9741" max="9741" width="9.25" style="43" customWidth="1"/>
    <col min="9742" max="9742" width="3.5" style="43" customWidth="1"/>
    <col min="9743" max="9744" width="12.625" style="43" customWidth="1"/>
    <col min="9745" max="9745" width="9" style="43"/>
    <col min="9746" max="9746" width="7.75" style="43" customWidth="1"/>
    <col min="9747" max="9747" width="13.125" style="43" customWidth="1"/>
    <col min="9748" max="9748" width="6.125" style="43" customWidth="1"/>
    <col min="9749" max="9749" width="9.75" style="43" customWidth="1"/>
    <col min="9750" max="9750" width="1.375" style="43" customWidth="1"/>
    <col min="9751" max="9990" width="9" style="43"/>
    <col min="9991" max="9991" width="1.375" style="43" customWidth="1"/>
    <col min="9992" max="9992" width="3.5" style="43" customWidth="1"/>
    <col min="9993" max="9993" width="22.125" style="43" customWidth="1"/>
    <col min="9994" max="9994" width="9.75" style="43" customWidth="1"/>
    <col min="9995" max="9995" width="7.375" style="43" customWidth="1"/>
    <col min="9996" max="9996" width="9" style="43"/>
    <col min="9997" max="9997" width="9.25" style="43" customWidth="1"/>
    <col min="9998" max="9998" width="3.5" style="43" customWidth="1"/>
    <col min="9999" max="10000" width="12.625" style="43" customWidth="1"/>
    <col min="10001" max="10001" width="9" style="43"/>
    <col min="10002" max="10002" width="7.75" style="43" customWidth="1"/>
    <col min="10003" max="10003" width="13.125" style="43" customWidth="1"/>
    <col min="10004" max="10004" width="6.125" style="43" customWidth="1"/>
    <col min="10005" max="10005" width="9.75" style="43" customWidth="1"/>
    <col min="10006" max="10006" width="1.375" style="43" customWidth="1"/>
    <col min="10007" max="10246" width="9" style="43"/>
    <col min="10247" max="10247" width="1.375" style="43" customWidth="1"/>
    <col min="10248" max="10248" width="3.5" style="43" customWidth="1"/>
    <col min="10249" max="10249" width="22.125" style="43" customWidth="1"/>
    <col min="10250" max="10250" width="9.75" style="43" customWidth="1"/>
    <col min="10251" max="10251" width="7.375" style="43" customWidth="1"/>
    <col min="10252" max="10252" width="9" style="43"/>
    <col min="10253" max="10253" width="9.25" style="43" customWidth="1"/>
    <col min="10254" max="10254" width="3.5" style="43" customWidth="1"/>
    <col min="10255" max="10256" width="12.625" style="43" customWidth="1"/>
    <col min="10257" max="10257" width="9" style="43"/>
    <col min="10258" max="10258" width="7.75" style="43" customWidth="1"/>
    <col min="10259" max="10259" width="13.125" style="43" customWidth="1"/>
    <col min="10260" max="10260" width="6.125" style="43" customWidth="1"/>
    <col min="10261" max="10261" width="9.75" style="43" customWidth="1"/>
    <col min="10262" max="10262" width="1.375" style="43" customWidth="1"/>
    <col min="10263" max="10502" width="9" style="43"/>
    <col min="10503" max="10503" width="1.375" style="43" customWidth="1"/>
    <col min="10504" max="10504" width="3.5" style="43" customWidth="1"/>
    <col min="10505" max="10505" width="22.125" style="43" customWidth="1"/>
    <col min="10506" max="10506" width="9.75" style="43" customWidth="1"/>
    <col min="10507" max="10507" width="7.375" style="43" customWidth="1"/>
    <col min="10508" max="10508" width="9" style="43"/>
    <col min="10509" max="10509" width="9.25" style="43" customWidth="1"/>
    <col min="10510" max="10510" width="3.5" style="43" customWidth="1"/>
    <col min="10511" max="10512" width="12.625" style="43" customWidth="1"/>
    <col min="10513" max="10513" width="9" style="43"/>
    <col min="10514" max="10514" width="7.75" style="43" customWidth="1"/>
    <col min="10515" max="10515" width="13.125" style="43" customWidth="1"/>
    <col min="10516" max="10516" width="6.125" style="43" customWidth="1"/>
    <col min="10517" max="10517" width="9.75" style="43" customWidth="1"/>
    <col min="10518" max="10518" width="1.375" style="43" customWidth="1"/>
    <col min="10519" max="10758" width="9" style="43"/>
    <col min="10759" max="10759" width="1.375" style="43" customWidth="1"/>
    <col min="10760" max="10760" width="3.5" style="43" customWidth="1"/>
    <col min="10761" max="10761" width="22.125" style="43" customWidth="1"/>
    <col min="10762" max="10762" width="9.75" style="43" customWidth="1"/>
    <col min="10763" max="10763" width="7.375" style="43" customWidth="1"/>
    <col min="10764" max="10764" width="9" style="43"/>
    <col min="10765" max="10765" width="9.25" style="43" customWidth="1"/>
    <col min="10766" max="10766" width="3.5" style="43" customWidth="1"/>
    <col min="10767" max="10768" width="12.625" style="43" customWidth="1"/>
    <col min="10769" max="10769" width="9" style="43"/>
    <col min="10770" max="10770" width="7.75" style="43" customWidth="1"/>
    <col min="10771" max="10771" width="13.125" style="43" customWidth="1"/>
    <col min="10772" max="10772" width="6.125" style="43" customWidth="1"/>
    <col min="10773" max="10773" width="9.75" style="43" customWidth="1"/>
    <col min="10774" max="10774" width="1.375" style="43" customWidth="1"/>
    <col min="10775" max="11014" width="9" style="43"/>
    <col min="11015" max="11015" width="1.375" style="43" customWidth="1"/>
    <col min="11016" max="11016" width="3.5" style="43" customWidth="1"/>
    <col min="11017" max="11017" width="22.125" style="43" customWidth="1"/>
    <col min="11018" max="11018" width="9.75" style="43" customWidth="1"/>
    <col min="11019" max="11019" width="7.375" style="43" customWidth="1"/>
    <col min="11020" max="11020" width="9" style="43"/>
    <col min="11021" max="11021" width="9.25" style="43" customWidth="1"/>
    <col min="11022" max="11022" width="3.5" style="43" customWidth="1"/>
    <col min="11023" max="11024" width="12.625" style="43" customWidth="1"/>
    <col min="11025" max="11025" width="9" style="43"/>
    <col min="11026" max="11026" width="7.75" style="43" customWidth="1"/>
    <col min="11027" max="11027" width="13.125" style="43" customWidth="1"/>
    <col min="11028" max="11028" width="6.125" style="43" customWidth="1"/>
    <col min="11029" max="11029" width="9.75" style="43" customWidth="1"/>
    <col min="11030" max="11030" width="1.375" style="43" customWidth="1"/>
    <col min="11031" max="11270" width="9" style="43"/>
    <col min="11271" max="11271" width="1.375" style="43" customWidth="1"/>
    <col min="11272" max="11272" width="3.5" style="43" customWidth="1"/>
    <col min="11273" max="11273" width="22.125" style="43" customWidth="1"/>
    <col min="11274" max="11274" width="9.75" style="43" customWidth="1"/>
    <col min="11275" max="11275" width="7.375" style="43" customWidth="1"/>
    <col min="11276" max="11276" width="9" style="43"/>
    <col min="11277" max="11277" width="9.25" style="43" customWidth="1"/>
    <col min="11278" max="11278" width="3.5" style="43" customWidth="1"/>
    <col min="11279" max="11280" width="12.625" style="43" customWidth="1"/>
    <col min="11281" max="11281" width="9" style="43"/>
    <col min="11282" max="11282" width="7.75" style="43" customWidth="1"/>
    <col min="11283" max="11283" width="13.125" style="43" customWidth="1"/>
    <col min="11284" max="11284" width="6.125" style="43" customWidth="1"/>
    <col min="11285" max="11285" width="9.75" style="43" customWidth="1"/>
    <col min="11286" max="11286" width="1.375" style="43" customWidth="1"/>
    <col min="11287" max="11526" width="9" style="43"/>
    <col min="11527" max="11527" width="1.375" style="43" customWidth="1"/>
    <col min="11528" max="11528" width="3.5" style="43" customWidth="1"/>
    <col min="11529" max="11529" width="22.125" style="43" customWidth="1"/>
    <col min="11530" max="11530" width="9.75" style="43" customWidth="1"/>
    <col min="11531" max="11531" width="7.375" style="43" customWidth="1"/>
    <col min="11532" max="11532" width="9" style="43"/>
    <col min="11533" max="11533" width="9.25" style="43" customWidth="1"/>
    <col min="11534" max="11534" width="3.5" style="43" customWidth="1"/>
    <col min="11535" max="11536" width="12.625" style="43" customWidth="1"/>
    <col min="11537" max="11537" width="9" style="43"/>
    <col min="11538" max="11538" width="7.75" style="43" customWidth="1"/>
    <col min="11539" max="11539" width="13.125" style="43" customWidth="1"/>
    <col min="11540" max="11540" width="6.125" style="43" customWidth="1"/>
    <col min="11541" max="11541" width="9.75" style="43" customWidth="1"/>
    <col min="11542" max="11542" width="1.375" style="43" customWidth="1"/>
    <col min="11543" max="11782" width="9" style="43"/>
    <col min="11783" max="11783" width="1.375" style="43" customWidth="1"/>
    <col min="11784" max="11784" width="3.5" style="43" customWidth="1"/>
    <col min="11785" max="11785" width="22.125" style="43" customWidth="1"/>
    <col min="11786" max="11786" width="9.75" style="43" customWidth="1"/>
    <col min="11787" max="11787" width="7.375" style="43" customWidth="1"/>
    <col min="11788" max="11788" width="9" style="43"/>
    <col min="11789" max="11789" width="9.25" style="43" customWidth="1"/>
    <col min="11790" max="11790" width="3.5" style="43" customWidth="1"/>
    <col min="11791" max="11792" width="12.625" style="43" customWidth="1"/>
    <col min="11793" max="11793" width="9" style="43"/>
    <col min="11794" max="11794" width="7.75" style="43" customWidth="1"/>
    <col min="11795" max="11795" width="13.125" style="43" customWidth="1"/>
    <col min="11796" max="11796" width="6.125" style="43" customWidth="1"/>
    <col min="11797" max="11797" width="9.75" style="43" customWidth="1"/>
    <col min="11798" max="11798" width="1.375" style="43" customWidth="1"/>
    <col min="11799" max="12038" width="9" style="43"/>
    <col min="12039" max="12039" width="1.375" style="43" customWidth="1"/>
    <col min="12040" max="12040" width="3.5" style="43" customWidth="1"/>
    <col min="12041" max="12041" width="22.125" style="43" customWidth="1"/>
    <col min="12042" max="12042" width="9.75" style="43" customWidth="1"/>
    <col min="12043" max="12043" width="7.375" style="43" customWidth="1"/>
    <col min="12044" max="12044" width="9" style="43"/>
    <col min="12045" max="12045" width="9.25" style="43" customWidth="1"/>
    <col min="12046" max="12046" width="3.5" style="43" customWidth="1"/>
    <col min="12047" max="12048" width="12.625" style="43" customWidth="1"/>
    <col min="12049" max="12049" width="9" style="43"/>
    <col min="12050" max="12050" width="7.75" style="43" customWidth="1"/>
    <col min="12051" max="12051" width="13.125" style="43" customWidth="1"/>
    <col min="12052" max="12052" width="6.125" style="43" customWidth="1"/>
    <col min="12053" max="12053" width="9.75" style="43" customWidth="1"/>
    <col min="12054" max="12054" width="1.375" style="43" customWidth="1"/>
    <col min="12055" max="12294" width="9" style="43"/>
    <col min="12295" max="12295" width="1.375" style="43" customWidth="1"/>
    <col min="12296" max="12296" width="3.5" style="43" customWidth="1"/>
    <col min="12297" max="12297" width="22.125" style="43" customWidth="1"/>
    <col min="12298" max="12298" width="9.75" style="43" customWidth="1"/>
    <col min="12299" max="12299" width="7.375" style="43" customWidth="1"/>
    <col min="12300" max="12300" width="9" style="43"/>
    <col min="12301" max="12301" width="9.25" style="43" customWidth="1"/>
    <col min="12302" max="12302" width="3.5" style="43" customWidth="1"/>
    <col min="12303" max="12304" width="12.625" style="43" customWidth="1"/>
    <col min="12305" max="12305" width="9" style="43"/>
    <col min="12306" max="12306" width="7.75" style="43" customWidth="1"/>
    <col min="12307" max="12307" width="13.125" style="43" customWidth="1"/>
    <col min="12308" max="12308" width="6.125" style="43" customWidth="1"/>
    <col min="12309" max="12309" width="9.75" style="43" customWidth="1"/>
    <col min="12310" max="12310" width="1.375" style="43" customWidth="1"/>
    <col min="12311" max="12550" width="9" style="43"/>
    <col min="12551" max="12551" width="1.375" style="43" customWidth="1"/>
    <col min="12552" max="12552" width="3.5" style="43" customWidth="1"/>
    <col min="12553" max="12553" width="22.125" style="43" customWidth="1"/>
    <col min="12554" max="12554" width="9.75" style="43" customWidth="1"/>
    <col min="12555" max="12555" width="7.375" style="43" customWidth="1"/>
    <col min="12556" max="12556" width="9" style="43"/>
    <col min="12557" max="12557" width="9.25" style="43" customWidth="1"/>
    <col min="12558" max="12558" width="3.5" style="43" customWidth="1"/>
    <col min="12559" max="12560" width="12.625" style="43" customWidth="1"/>
    <col min="12561" max="12561" width="9" style="43"/>
    <col min="12562" max="12562" width="7.75" style="43" customWidth="1"/>
    <col min="12563" max="12563" width="13.125" style="43" customWidth="1"/>
    <col min="12564" max="12564" width="6.125" style="43" customWidth="1"/>
    <col min="12565" max="12565" width="9.75" style="43" customWidth="1"/>
    <col min="12566" max="12566" width="1.375" style="43" customWidth="1"/>
    <col min="12567" max="12806" width="9" style="43"/>
    <col min="12807" max="12807" width="1.375" style="43" customWidth="1"/>
    <col min="12808" max="12808" width="3.5" style="43" customWidth="1"/>
    <col min="12809" max="12809" width="22.125" style="43" customWidth="1"/>
    <col min="12810" max="12810" width="9.75" style="43" customWidth="1"/>
    <col min="12811" max="12811" width="7.375" style="43" customWidth="1"/>
    <col min="12812" max="12812" width="9" style="43"/>
    <col min="12813" max="12813" width="9.25" style="43" customWidth="1"/>
    <col min="12814" max="12814" width="3.5" style="43" customWidth="1"/>
    <col min="12815" max="12816" width="12.625" style="43" customWidth="1"/>
    <col min="12817" max="12817" width="9" style="43"/>
    <col min="12818" max="12818" width="7.75" style="43" customWidth="1"/>
    <col min="12819" max="12819" width="13.125" style="43" customWidth="1"/>
    <col min="12820" max="12820" width="6.125" style="43" customWidth="1"/>
    <col min="12821" max="12821" width="9.75" style="43" customWidth="1"/>
    <col min="12822" max="12822" width="1.375" style="43" customWidth="1"/>
    <col min="12823" max="13062" width="9" style="43"/>
    <col min="13063" max="13063" width="1.375" style="43" customWidth="1"/>
    <col min="13064" max="13064" width="3.5" style="43" customWidth="1"/>
    <col min="13065" max="13065" width="22.125" style="43" customWidth="1"/>
    <col min="13066" max="13066" width="9.75" style="43" customWidth="1"/>
    <col min="13067" max="13067" width="7.375" style="43" customWidth="1"/>
    <col min="13068" max="13068" width="9" style="43"/>
    <col min="13069" max="13069" width="9.25" style="43" customWidth="1"/>
    <col min="13070" max="13070" width="3.5" style="43" customWidth="1"/>
    <col min="13071" max="13072" width="12.625" style="43" customWidth="1"/>
    <col min="13073" max="13073" width="9" style="43"/>
    <col min="13074" max="13074" width="7.75" style="43" customWidth="1"/>
    <col min="13075" max="13075" width="13.125" style="43" customWidth="1"/>
    <col min="13076" max="13076" width="6.125" style="43" customWidth="1"/>
    <col min="13077" max="13077" width="9.75" style="43" customWidth="1"/>
    <col min="13078" max="13078" width="1.375" style="43" customWidth="1"/>
    <col min="13079" max="13318" width="9" style="43"/>
    <col min="13319" max="13319" width="1.375" style="43" customWidth="1"/>
    <col min="13320" max="13320" width="3.5" style="43" customWidth="1"/>
    <col min="13321" max="13321" width="22.125" style="43" customWidth="1"/>
    <col min="13322" max="13322" width="9.75" style="43" customWidth="1"/>
    <col min="13323" max="13323" width="7.375" style="43" customWidth="1"/>
    <col min="13324" max="13324" width="9" style="43"/>
    <col min="13325" max="13325" width="9.25" style="43" customWidth="1"/>
    <col min="13326" max="13326" width="3.5" style="43" customWidth="1"/>
    <col min="13327" max="13328" width="12.625" style="43" customWidth="1"/>
    <col min="13329" max="13329" width="9" style="43"/>
    <col min="13330" max="13330" width="7.75" style="43" customWidth="1"/>
    <col min="13331" max="13331" width="13.125" style="43" customWidth="1"/>
    <col min="13332" max="13332" width="6.125" style="43" customWidth="1"/>
    <col min="13333" max="13333" width="9.75" style="43" customWidth="1"/>
    <col min="13334" max="13334" width="1.375" style="43" customWidth="1"/>
    <col min="13335" max="13574" width="9" style="43"/>
    <col min="13575" max="13575" width="1.375" style="43" customWidth="1"/>
    <col min="13576" max="13576" width="3.5" style="43" customWidth="1"/>
    <col min="13577" max="13577" width="22.125" style="43" customWidth="1"/>
    <col min="13578" max="13578" width="9.75" style="43" customWidth="1"/>
    <col min="13579" max="13579" width="7.375" style="43" customWidth="1"/>
    <col min="13580" max="13580" width="9" style="43"/>
    <col min="13581" max="13581" width="9.25" style="43" customWidth="1"/>
    <col min="13582" max="13582" width="3.5" style="43" customWidth="1"/>
    <col min="13583" max="13584" width="12.625" style="43" customWidth="1"/>
    <col min="13585" max="13585" width="9" style="43"/>
    <col min="13586" max="13586" width="7.75" style="43" customWidth="1"/>
    <col min="13587" max="13587" width="13.125" style="43" customWidth="1"/>
    <col min="13588" max="13588" width="6.125" style="43" customWidth="1"/>
    <col min="13589" max="13589" width="9.75" style="43" customWidth="1"/>
    <col min="13590" max="13590" width="1.375" style="43" customWidth="1"/>
    <col min="13591" max="13830" width="9" style="43"/>
    <col min="13831" max="13831" width="1.375" style="43" customWidth="1"/>
    <col min="13832" max="13832" width="3.5" style="43" customWidth="1"/>
    <col min="13833" max="13833" width="22.125" style="43" customWidth="1"/>
    <col min="13834" max="13834" width="9.75" style="43" customWidth="1"/>
    <col min="13835" max="13835" width="7.375" style="43" customWidth="1"/>
    <col min="13836" max="13836" width="9" style="43"/>
    <col min="13837" max="13837" width="9.25" style="43" customWidth="1"/>
    <col min="13838" max="13838" width="3.5" style="43" customWidth="1"/>
    <col min="13839" max="13840" width="12.625" style="43" customWidth="1"/>
    <col min="13841" max="13841" width="9" style="43"/>
    <col min="13842" max="13842" width="7.75" style="43" customWidth="1"/>
    <col min="13843" max="13843" width="13.125" style="43" customWidth="1"/>
    <col min="13844" max="13844" width="6.125" style="43" customWidth="1"/>
    <col min="13845" max="13845" width="9.75" style="43" customWidth="1"/>
    <col min="13846" max="13846" width="1.375" style="43" customWidth="1"/>
    <col min="13847" max="14086" width="9" style="43"/>
    <col min="14087" max="14087" width="1.375" style="43" customWidth="1"/>
    <col min="14088" max="14088" width="3.5" style="43" customWidth="1"/>
    <col min="14089" max="14089" width="22.125" style="43" customWidth="1"/>
    <col min="14090" max="14090" width="9.75" style="43" customWidth="1"/>
    <col min="14091" max="14091" width="7.375" style="43" customWidth="1"/>
    <col min="14092" max="14092" width="9" style="43"/>
    <col min="14093" max="14093" width="9.25" style="43" customWidth="1"/>
    <col min="14094" max="14094" width="3.5" style="43" customWidth="1"/>
    <col min="14095" max="14096" width="12.625" style="43" customWidth="1"/>
    <col min="14097" max="14097" width="9" style="43"/>
    <col min="14098" max="14098" width="7.75" style="43" customWidth="1"/>
    <col min="14099" max="14099" width="13.125" style="43" customWidth="1"/>
    <col min="14100" max="14100" width="6.125" style="43" customWidth="1"/>
    <col min="14101" max="14101" width="9.75" style="43" customWidth="1"/>
    <col min="14102" max="14102" width="1.375" style="43" customWidth="1"/>
    <col min="14103" max="14342" width="9" style="43"/>
    <col min="14343" max="14343" width="1.375" style="43" customWidth="1"/>
    <col min="14344" max="14344" width="3.5" style="43" customWidth="1"/>
    <col min="14345" max="14345" width="22.125" style="43" customWidth="1"/>
    <col min="14346" max="14346" width="9.75" style="43" customWidth="1"/>
    <col min="14347" max="14347" width="7.375" style="43" customWidth="1"/>
    <col min="14348" max="14348" width="9" style="43"/>
    <col min="14349" max="14349" width="9.25" style="43" customWidth="1"/>
    <col min="14350" max="14350" width="3.5" style="43" customWidth="1"/>
    <col min="14351" max="14352" width="12.625" style="43" customWidth="1"/>
    <col min="14353" max="14353" width="9" style="43"/>
    <col min="14354" max="14354" width="7.75" style="43" customWidth="1"/>
    <col min="14355" max="14355" width="13.125" style="43" customWidth="1"/>
    <col min="14356" max="14356" width="6.125" style="43" customWidth="1"/>
    <col min="14357" max="14357" width="9.75" style="43" customWidth="1"/>
    <col min="14358" max="14358" width="1.375" style="43" customWidth="1"/>
    <col min="14359" max="14598" width="9" style="43"/>
    <col min="14599" max="14599" width="1.375" style="43" customWidth="1"/>
    <col min="14600" max="14600" width="3.5" style="43" customWidth="1"/>
    <col min="14601" max="14601" width="22.125" style="43" customWidth="1"/>
    <col min="14602" max="14602" width="9.75" style="43" customWidth="1"/>
    <col min="14603" max="14603" width="7.375" style="43" customWidth="1"/>
    <col min="14604" max="14604" width="9" style="43"/>
    <col min="14605" max="14605" width="9.25" style="43" customWidth="1"/>
    <col min="14606" max="14606" width="3.5" style="43" customWidth="1"/>
    <col min="14607" max="14608" width="12.625" style="43" customWidth="1"/>
    <col min="14609" max="14609" width="9" style="43"/>
    <col min="14610" max="14610" width="7.75" style="43" customWidth="1"/>
    <col min="14611" max="14611" width="13.125" style="43" customWidth="1"/>
    <col min="14612" max="14612" width="6.125" style="43" customWidth="1"/>
    <col min="14613" max="14613" width="9.75" style="43" customWidth="1"/>
    <col min="14614" max="14614" width="1.375" style="43" customWidth="1"/>
    <col min="14615" max="14854" width="9" style="43"/>
    <col min="14855" max="14855" width="1.375" style="43" customWidth="1"/>
    <col min="14856" max="14856" width="3.5" style="43" customWidth="1"/>
    <col min="14857" max="14857" width="22.125" style="43" customWidth="1"/>
    <col min="14858" max="14858" width="9.75" style="43" customWidth="1"/>
    <col min="14859" max="14859" width="7.375" style="43" customWidth="1"/>
    <col min="14860" max="14860" width="9" style="43"/>
    <col min="14861" max="14861" width="9.25" style="43" customWidth="1"/>
    <col min="14862" max="14862" width="3.5" style="43" customWidth="1"/>
    <col min="14863" max="14864" width="12.625" style="43" customWidth="1"/>
    <col min="14865" max="14865" width="9" style="43"/>
    <col min="14866" max="14866" width="7.75" style="43" customWidth="1"/>
    <col min="14867" max="14867" width="13.125" style="43" customWidth="1"/>
    <col min="14868" max="14868" width="6.125" style="43" customWidth="1"/>
    <col min="14869" max="14869" width="9.75" style="43" customWidth="1"/>
    <col min="14870" max="14870" width="1.375" style="43" customWidth="1"/>
    <col min="14871" max="15110" width="9" style="43"/>
    <col min="15111" max="15111" width="1.375" style="43" customWidth="1"/>
    <col min="15112" max="15112" width="3.5" style="43" customWidth="1"/>
    <col min="15113" max="15113" width="22.125" style="43" customWidth="1"/>
    <col min="15114" max="15114" width="9.75" style="43" customWidth="1"/>
    <col min="15115" max="15115" width="7.375" style="43" customWidth="1"/>
    <col min="15116" max="15116" width="9" style="43"/>
    <col min="15117" max="15117" width="9.25" style="43" customWidth="1"/>
    <col min="15118" max="15118" width="3.5" style="43" customWidth="1"/>
    <col min="15119" max="15120" width="12.625" style="43" customWidth="1"/>
    <col min="15121" max="15121" width="9" style="43"/>
    <col min="15122" max="15122" width="7.75" style="43" customWidth="1"/>
    <col min="15123" max="15123" width="13.125" style="43" customWidth="1"/>
    <col min="15124" max="15124" width="6.125" style="43" customWidth="1"/>
    <col min="15125" max="15125" width="9.75" style="43" customWidth="1"/>
    <col min="15126" max="15126" width="1.375" style="43" customWidth="1"/>
    <col min="15127" max="15366" width="9" style="43"/>
    <col min="15367" max="15367" width="1.375" style="43" customWidth="1"/>
    <col min="15368" max="15368" width="3.5" style="43" customWidth="1"/>
    <col min="15369" max="15369" width="22.125" style="43" customWidth="1"/>
    <col min="15370" max="15370" width="9.75" style="43" customWidth="1"/>
    <col min="15371" max="15371" width="7.375" style="43" customWidth="1"/>
    <col min="15372" max="15372" width="9" style="43"/>
    <col min="15373" max="15373" width="9.25" style="43" customWidth="1"/>
    <col min="15374" max="15374" width="3.5" style="43" customWidth="1"/>
    <col min="15375" max="15376" width="12.625" style="43" customWidth="1"/>
    <col min="15377" max="15377" width="9" style="43"/>
    <col min="15378" max="15378" width="7.75" style="43" customWidth="1"/>
    <col min="15379" max="15379" width="13.125" style="43" customWidth="1"/>
    <col min="15380" max="15380" width="6.125" style="43" customWidth="1"/>
    <col min="15381" max="15381" width="9.75" style="43" customWidth="1"/>
    <col min="15382" max="15382" width="1.375" style="43" customWidth="1"/>
    <col min="15383" max="15622" width="9" style="43"/>
    <col min="15623" max="15623" width="1.375" style="43" customWidth="1"/>
    <col min="15624" max="15624" width="3.5" style="43" customWidth="1"/>
    <col min="15625" max="15625" width="22.125" style="43" customWidth="1"/>
    <col min="15626" max="15626" width="9.75" style="43" customWidth="1"/>
    <col min="15627" max="15627" width="7.375" style="43" customWidth="1"/>
    <col min="15628" max="15628" width="9" style="43"/>
    <col min="15629" max="15629" width="9.25" style="43" customWidth="1"/>
    <col min="15630" max="15630" width="3.5" style="43" customWidth="1"/>
    <col min="15631" max="15632" width="12.625" style="43" customWidth="1"/>
    <col min="15633" max="15633" width="9" style="43"/>
    <col min="15634" max="15634" width="7.75" style="43" customWidth="1"/>
    <col min="15635" max="15635" width="13.125" style="43" customWidth="1"/>
    <col min="15636" max="15636" width="6.125" style="43" customWidth="1"/>
    <col min="15637" max="15637" width="9.75" style="43" customWidth="1"/>
    <col min="15638" max="15638" width="1.375" style="43" customWidth="1"/>
    <col min="15639" max="15878" width="9" style="43"/>
    <col min="15879" max="15879" width="1.375" style="43" customWidth="1"/>
    <col min="15880" max="15880" width="3.5" style="43" customWidth="1"/>
    <col min="15881" max="15881" width="22.125" style="43" customWidth="1"/>
    <col min="15882" max="15882" width="9.75" style="43" customWidth="1"/>
    <col min="15883" max="15883" width="7.375" style="43" customWidth="1"/>
    <col min="15884" max="15884" width="9" style="43"/>
    <col min="15885" max="15885" width="9.25" style="43" customWidth="1"/>
    <col min="15886" max="15886" width="3.5" style="43" customWidth="1"/>
    <col min="15887" max="15888" width="12.625" style="43" customWidth="1"/>
    <col min="15889" max="15889" width="9" style="43"/>
    <col min="15890" max="15890" width="7.75" style="43" customWidth="1"/>
    <col min="15891" max="15891" width="13.125" style="43" customWidth="1"/>
    <col min="15892" max="15892" width="6.125" style="43" customWidth="1"/>
    <col min="15893" max="15893" width="9.75" style="43" customWidth="1"/>
    <col min="15894" max="15894" width="1.375" style="43" customWidth="1"/>
    <col min="15895" max="16134" width="9" style="43"/>
    <col min="16135" max="16135" width="1.375" style="43" customWidth="1"/>
    <col min="16136" max="16136" width="3.5" style="43" customWidth="1"/>
    <col min="16137" max="16137" width="22.125" style="43" customWidth="1"/>
    <col min="16138" max="16138" width="9.75" style="43" customWidth="1"/>
    <col min="16139" max="16139" width="7.375" style="43" customWidth="1"/>
    <col min="16140" max="16140" width="9" style="43"/>
    <col min="16141" max="16141" width="9.25" style="43" customWidth="1"/>
    <col min="16142" max="16142" width="3.5" style="43" customWidth="1"/>
    <col min="16143" max="16144" width="12.625" style="43" customWidth="1"/>
    <col min="16145" max="16145" width="9" style="43"/>
    <col min="16146" max="16146" width="7.75" style="43" customWidth="1"/>
    <col min="16147" max="16147" width="13.125" style="43" customWidth="1"/>
    <col min="16148" max="16148" width="6.125" style="43" customWidth="1"/>
    <col min="16149" max="16149" width="9.75" style="43" customWidth="1"/>
    <col min="16150" max="16150" width="1.375" style="43" customWidth="1"/>
    <col min="16151" max="16384" width="9" style="43"/>
  </cols>
  <sheetData>
    <row r="1" spans="1:23" ht="9.9499999999999993" customHeight="1" x14ac:dyDescent="0.15">
      <c r="A1" s="43" t="s">
        <v>391</v>
      </c>
    </row>
    <row r="2" spans="1:23" ht="24.95" customHeight="1" x14ac:dyDescent="0.15">
      <c r="B2" s="43" t="s">
        <v>392</v>
      </c>
      <c r="C2" s="45"/>
      <c r="D2" s="4"/>
      <c r="E2" s="4"/>
      <c r="F2" s="45"/>
      <c r="G2" s="100"/>
      <c r="H2" s="110"/>
      <c r="I2" s="100"/>
      <c r="J2" s="100"/>
      <c r="K2" s="100"/>
      <c r="L2" s="100"/>
      <c r="M2" s="100"/>
      <c r="N2" s="100"/>
      <c r="O2" s="4"/>
    </row>
    <row r="3" spans="1:23" ht="15" customHeight="1" thickBot="1" x14ac:dyDescent="0.2">
      <c r="B3" s="43" t="s">
        <v>205</v>
      </c>
      <c r="I3" s="4" t="s">
        <v>206</v>
      </c>
      <c r="P3" s="43" t="s">
        <v>227</v>
      </c>
    </row>
    <row r="4" spans="1:23" ht="15" customHeight="1" x14ac:dyDescent="0.15">
      <c r="B4" s="357" t="s">
        <v>91</v>
      </c>
      <c r="C4" s="358" t="s">
        <v>167</v>
      </c>
      <c r="D4" s="358" t="s">
        <v>146</v>
      </c>
      <c r="E4" s="358" t="s">
        <v>147</v>
      </c>
      <c r="F4" s="359" t="s">
        <v>24</v>
      </c>
      <c r="G4" s="360" t="s">
        <v>148</v>
      </c>
      <c r="H4" s="145"/>
      <c r="I4" s="1191" t="s">
        <v>91</v>
      </c>
      <c r="J4" s="1189" t="s">
        <v>171</v>
      </c>
      <c r="K4" s="361" t="s">
        <v>393</v>
      </c>
      <c r="L4" s="361" t="s">
        <v>149</v>
      </c>
      <c r="M4" s="1185" t="s">
        <v>24</v>
      </c>
      <c r="N4" s="1187" t="s">
        <v>148</v>
      </c>
      <c r="O4" s="163"/>
      <c r="P4" s="362" t="s">
        <v>174</v>
      </c>
      <c r="Q4" s="363" t="s">
        <v>175</v>
      </c>
      <c r="R4" s="363" t="s">
        <v>176</v>
      </c>
      <c r="S4" s="363" t="s">
        <v>394</v>
      </c>
      <c r="T4" s="1193" t="s">
        <v>177</v>
      </c>
      <c r="U4" s="1075"/>
      <c r="V4" s="364" t="s">
        <v>178</v>
      </c>
    </row>
    <row r="5" spans="1:23" ht="15" customHeight="1" x14ac:dyDescent="0.15">
      <c r="B5" s="1025" t="s">
        <v>162</v>
      </c>
      <c r="C5" s="392"/>
      <c r="D5" s="389"/>
      <c r="E5" s="390"/>
      <c r="F5" s="392"/>
      <c r="G5" s="134">
        <f t="shared" ref="G5:G6" si="0">D5*F5</f>
        <v>0</v>
      </c>
      <c r="H5" s="146"/>
      <c r="I5" s="1192"/>
      <c r="J5" s="1190"/>
      <c r="K5" s="666" t="s">
        <v>150</v>
      </c>
      <c r="L5" s="666" t="s">
        <v>258</v>
      </c>
      <c r="M5" s="1186"/>
      <c r="N5" s="1188"/>
      <c r="O5" s="163"/>
      <c r="P5" s="588" t="s">
        <v>395</v>
      </c>
      <c r="Q5" s="578"/>
      <c r="R5" s="589" t="s">
        <v>421</v>
      </c>
      <c r="S5" s="578"/>
      <c r="T5" s="1194" t="s">
        <v>397</v>
      </c>
      <c r="U5" s="1195"/>
      <c r="V5" s="590">
        <v>5806.666666666667</v>
      </c>
      <c r="W5" s="667" t="s">
        <v>398</v>
      </c>
    </row>
    <row r="6" spans="1:23" ht="15" customHeight="1" x14ac:dyDescent="0.15">
      <c r="B6" s="985"/>
      <c r="C6" s="389"/>
      <c r="D6" s="389"/>
      <c r="E6" s="390"/>
      <c r="F6" s="389"/>
      <c r="G6" s="391">
        <f t="shared" si="0"/>
        <v>0</v>
      </c>
      <c r="H6" s="146"/>
      <c r="I6" s="1219" t="s">
        <v>170</v>
      </c>
      <c r="J6" s="401" t="s">
        <v>702</v>
      </c>
      <c r="K6" s="405">
        <v>8.36</v>
      </c>
      <c r="L6" s="405">
        <v>13</v>
      </c>
      <c r="M6" s="405">
        <v>84.7</v>
      </c>
      <c r="N6" s="406">
        <f>K6*L6*M6</f>
        <v>9205.1959999999999</v>
      </c>
      <c r="O6" s="163"/>
      <c r="P6" s="235"/>
      <c r="Q6" s="133"/>
      <c r="R6" s="577"/>
      <c r="S6" s="133"/>
      <c r="T6" s="1169"/>
      <c r="U6" s="1170"/>
      <c r="V6" s="156"/>
    </row>
    <row r="7" spans="1:23" ht="15" customHeight="1" thickBot="1" x14ac:dyDescent="0.2">
      <c r="B7" s="1198"/>
      <c r="C7" s="136" t="s">
        <v>151</v>
      </c>
      <c r="D7" s="136"/>
      <c r="E7" s="136"/>
      <c r="F7" s="136"/>
      <c r="G7" s="137">
        <f>SUM(G5:G6)</f>
        <v>0</v>
      </c>
      <c r="H7" s="146"/>
      <c r="I7" s="1220"/>
      <c r="J7" s="401" t="s">
        <v>703</v>
      </c>
      <c r="K7" s="407">
        <v>2.62</v>
      </c>
      <c r="L7" s="405">
        <f>5+6.5</f>
        <v>11.5</v>
      </c>
      <c r="M7" s="405">
        <v>84.7</v>
      </c>
      <c r="N7" s="406">
        <f t="shared" ref="N7:N9" si="1">K7*L7*M7</f>
        <v>2552.0110000000004</v>
      </c>
      <c r="O7" s="163"/>
      <c r="P7" s="235"/>
      <c r="Q7" s="133"/>
      <c r="R7" s="577"/>
      <c r="S7" s="133"/>
      <c r="T7" s="1169"/>
      <c r="U7" s="1170"/>
      <c r="V7" s="156"/>
    </row>
    <row r="8" spans="1:23" ht="15" customHeight="1" thickTop="1" x14ac:dyDescent="0.15">
      <c r="B8" s="1196" t="s">
        <v>160</v>
      </c>
      <c r="C8" s="389" t="s">
        <v>780</v>
      </c>
      <c r="D8" s="389">
        <v>10</v>
      </c>
      <c r="E8" s="390" t="s">
        <v>399</v>
      </c>
      <c r="F8" s="389">
        <v>3840</v>
      </c>
      <c r="G8" s="391">
        <f>D8*F8</f>
        <v>38400</v>
      </c>
      <c r="H8" s="146"/>
      <c r="I8" s="1220"/>
      <c r="J8" s="401" t="s">
        <v>704</v>
      </c>
      <c r="K8" s="405">
        <v>1.2</v>
      </c>
      <c r="L8" s="405">
        <v>3</v>
      </c>
      <c r="M8" s="405">
        <v>84.7</v>
      </c>
      <c r="N8" s="406">
        <f t="shared" si="1"/>
        <v>304.91999999999996</v>
      </c>
      <c r="O8" s="163"/>
      <c r="P8" s="235"/>
      <c r="Q8" s="133"/>
      <c r="R8" s="577"/>
      <c r="S8" s="133"/>
      <c r="T8" s="1169"/>
      <c r="U8" s="1170"/>
      <c r="V8" s="156"/>
    </row>
    <row r="9" spans="1:23" ht="15" customHeight="1" x14ac:dyDescent="0.15">
      <c r="B9" s="985"/>
      <c r="C9" s="389"/>
      <c r="D9" s="389">
        <v>0</v>
      </c>
      <c r="E9" s="390"/>
      <c r="F9" s="389"/>
      <c r="G9" s="391">
        <f>D9*F9</f>
        <v>0</v>
      </c>
      <c r="H9" s="146"/>
      <c r="I9" s="1220"/>
      <c r="J9" s="365" t="s">
        <v>705</v>
      </c>
      <c r="K9" s="366">
        <v>4.2699999999999996</v>
      </c>
      <c r="L9" s="367">
        <v>5</v>
      </c>
      <c r="M9" s="405">
        <v>84.7</v>
      </c>
      <c r="N9" s="368">
        <f t="shared" si="1"/>
        <v>1808.3449999999998</v>
      </c>
      <c r="O9" s="163"/>
      <c r="P9" s="235"/>
      <c r="Q9" s="133"/>
      <c r="R9" s="577"/>
      <c r="S9" s="133"/>
      <c r="T9" s="1169"/>
      <c r="U9" s="1170"/>
      <c r="V9" s="156"/>
    </row>
    <row r="10" spans="1:23" ht="15" customHeight="1" x14ac:dyDescent="0.15">
      <c r="B10" s="985"/>
      <c r="C10" s="389"/>
      <c r="D10" s="389"/>
      <c r="E10" s="390"/>
      <c r="F10" s="389"/>
      <c r="G10" s="391">
        <f>D10*F10</f>
        <v>0</v>
      </c>
      <c r="H10" s="146"/>
      <c r="I10" s="1220"/>
      <c r="J10" s="662" t="s">
        <v>706</v>
      </c>
      <c r="K10" s="663">
        <v>0.62</v>
      </c>
      <c r="L10" s="663">
        <v>3.5</v>
      </c>
      <c r="M10" s="664">
        <v>84.7</v>
      </c>
      <c r="N10" s="665">
        <f>K10*L10*M10</f>
        <v>183.79900000000001</v>
      </c>
      <c r="O10" s="163"/>
      <c r="P10" s="235"/>
      <c r="Q10" s="133"/>
      <c r="R10" s="577"/>
      <c r="S10" s="133"/>
      <c r="T10" s="579"/>
      <c r="U10" s="580"/>
      <c r="V10" s="156"/>
    </row>
    <row r="11" spans="1:23" ht="15" customHeight="1" thickBot="1" x14ac:dyDescent="0.2">
      <c r="B11" s="1198"/>
      <c r="C11" s="138" t="s">
        <v>152</v>
      </c>
      <c r="D11" s="139"/>
      <c r="E11" s="139"/>
      <c r="F11" s="139"/>
      <c r="G11" s="140">
        <f>SUM(G8:G10)</f>
        <v>38400</v>
      </c>
      <c r="H11" s="146"/>
      <c r="I11" s="1220"/>
      <c r="J11" s="613"/>
      <c r="K11" s="613"/>
      <c r="L11" s="613"/>
      <c r="M11" s="613"/>
      <c r="N11" s="229"/>
      <c r="O11" s="163"/>
      <c r="P11" s="235"/>
      <c r="Q11" s="133"/>
      <c r="R11" s="577"/>
      <c r="S11" s="133"/>
      <c r="T11" s="1169"/>
      <c r="U11" s="1170"/>
      <c r="V11" s="156"/>
    </row>
    <row r="12" spans="1:23" ht="15" customHeight="1" thickTop="1" thickBot="1" x14ac:dyDescent="0.2">
      <c r="B12" s="1196" t="s">
        <v>161</v>
      </c>
      <c r="C12" s="389" t="s">
        <v>763</v>
      </c>
      <c r="D12" s="389">
        <v>350</v>
      </c>
      <c r="E12" s="390" t="s">
        <v>401</v>
      </c>
      <c r="F12" s="389">
        <f>3220/20</f>
        <v>161</v>
      </c>
      <c r="G12" s="391">
        <f>D12*F12</f>
        <v>56350</v>
      </c>
      <c r="H12" s="146"/>
      <c r="I12" s="1221"/>
      <c r="J12" s="372" t="s">
        <v>402</v>
      </c>
      <c r="K12" s="373">
        <f>SUM(K6:K9)</f>
        <v>16.45</v>
      </c>
      <c r="L12" s="373">
        <f>SUM(L6:L10)</f>
        <v>36</v>
      </c>
      <c r="M12" s="373"/>
      <c r="N12" s="374">
        <f>SUM(N6:N10)</f>
        <v>14054.271000000001</v>
      </c>
      <c r="O12" s="163"/>
      <c r="P12" s="235"/>
      <c r="Q12" s="133"/>
      <c r="R12" s="577"/>
      <c r="S12" s="133"/>
      <c r="T12" s="1169"/>
      <c r="U12" s="1170"/>
      <c r="V12" s="156"/>
    </row>
    <row r="13" spans="1:23" ht="15" customHeight="1" thickTop="1" x14ac:dyDescent="0.15">
      <c r="B13" s="985"/>
      <c r="C13" s="389"/>
      <c r="D13" s="389"/>
      <c r="E13" s="390"/>
      <c r="F13" s="389"/>
      <c r="G13" s="391">
        <f>D13*F13</f>
        <v>0</v>
      </c>
      <c r="H13" s="146"/>
      <c r="I13" s="1162" t="s">
        <v>404</v>
      </c>
      <c r="J13" s="401" t="s">
        <v>707</v>
      </c>
      <c r="K13" s="405">
        <v>2.78</v>
      </c>
      <c r="L13" s="405">
        <v>3.3</v>
      </c>
      <c r="M13" s="405">
        <v>158.4</v>
      </c>
      <c r="N13" s="406">
        <f>K13*L13*M13</f>
        <v>1453.1615999999999</v>
      </c>
      <c r="O13" s="163"/>
      <c r="P13" s="235"/>
      <c r="Q13" s="133"/>
      <c r="R13" s="577"/>
      <c r="S13" s="133"/>
      <c r="T13" s="1169"/>
      <c r="U13" s="1170"/>
      <c r="V13" s="156"/>
    </row>
    <row r="14" spans="1:23" ht="15" customHeight="1" x14ac:dyDescent="0.15">
      <c r="B14" s="985"/>
      <c r="C14" s="389"/>
      <c r="D14" s="389"/>
      <c r="E14" s="390"/>
      <c r="F14" s="389"/>
      <c r="G14" s="391">
        <f>D14*F14</f>
        <v>0</v>
      </c>
      <c r="H14" s="146"/>
      <c r="I14" s="1163"/>
      <c r="J14" s="401"/>
      <c r="K14" s="405"/>
      <c r="L14" s="405"/>
      <c r="M14" s="405"/>
      <c r="N14" s="406">
        <f t="shared" ref="N14:N15" si="2">K14*L14*M14</f>
        <v>0</v>
      </c>
      <c r="O14" s="163"/>
      <c r="P14" s="235"/>
      <c r="Q14" s="133"/>
      <c r="R14" s="577"/>
      <c r="S14" s="133"/>
      <c r="T14" s="1169"/>
      <c r="U14" s="1170"/>
      <c r="V14" s="156"/>
    </row>
    <row r="15" spans="1:23" ht="15" customHeight="1" x14ac:dyDescent="0.15">
      <c r="B15" s="985"/>
      <c r="C15" s="389"/>
      <c r="D15" s="389"/>
      <c r="E15" s="389"/>
      <c r="F15" s="389"/>
      <c r="G15" s="391">
        <f t="shared" ref="G15" si="3">D15*F15</f>
        <v>0</v>
      </c>
      <c r="H15" s="146"/>
      <c r="I15" s="1163"/>
      <c r="J15" s="401"/>
      <c r="K15" s="405"/>
      <c r="L15" s="405"/>
      <c r="M15" s="405"/>
      <c r="N15" s="406">
        <f t="shared" si="2"/>
        <v>0</v>
      </c>
      <c r="O15" s="163"/>
      <c r="P15" s="235"/>
      <c r="Q15" s="133"/>
      <c r="R15" s="577"/>
      <c r="S15" s="133"/>
      <c r="T15" s="1169"/>
      <c r="U15" s="1170"/>
      <c r="V15" s="156"/>
    </row>
    <row r="16" spans="1:23" ht="15" customHeight="1" thickBot="1" x14ac:dyDescent="0.2">
      <c r="B16" s="1198"/>
      <c r="C16" s="138" t="s">
        <v>152</v>
      </c>
      <c r="D16" s="139"/>
      <c r="E16" s="139"/>
      <c r="F16" s="139"/>
      <c r="G16" s="140">
        <f>SUM(G12:G15)</f>
        <v>56350</v>
      </c>
      <c r="H16" s="146"/>
      <c r="I16" s="1164"/>
      <c r="J16" s="236" t="s">
        <v>418</v>
      </c>
      <c r="K16" s="150">
        <f>SUM(K13:K15)</f>
        <v>2.78</v>
      </c>
      <c r="L16" s="150">
        <f>SUM(L13:L15)</f>
        <v>3.3</v>
      </c>
      <c r="M16" s="150"/>
      <c r="N16" s="375">
        <f>SUM(N13:N15)</f>
        <v>1453.1615999999999</v>
      </c>
      <c r="O16" s="163"/>
      <c r="P16" s="235"/>
      <c r="Q16" s="133"/>
      <c r="R16" s="577"/>
      <c r="S16" s="133"/>
      <c r="T16" s="1169"/>
      <c r="U16" s="1170"/>
      <c r="V16" s="156"/>
    </row>
    <row r="17" spans="2:22" ht="15" customHeight="1" thickTop="1" x14ac:dyDescent="0.15">
      <c r="B17" s="1196" t="s">
        <v>163</v>
      </c>
      <c r="C17" s="389"/>
      <c r="D17" s="389"/>
      <c r="E17" s="390"/>
      <c r="F17" s="389"/>
      <c r="G17" s="391">
        <f t="shared" ref="G17" si="4">D17*F17</f>
        <v>0</v>
      </c>
      <c r="H17" s="146"/>
      <c r="I17" s="1162" t="s">
        <v>172</v>
      </c>
      <c r="J17" s="401"/>
      <c r="K17" s="405"/>
      <c r="L17" s="405"/>
      <c r="M17" s="405"/>
      <c r="N17" s="406">
        <f>K17*L17*M17</f>
        <v>0</v>
      </c>
      <c r="O17" s="163"/>
      <c r="P17" s="235"/>
      <c r="Q17" s="133"/>
      <c r="R17" s="577"/>
      <c r="S17" s="133"/>
      <c r="T17" s="1169"/>
      <c r="U17" s="1170"/>
      <c r="V17" s="156"/>
    </row>
    <row r="18" spans="2:22" ht="15" customHeight="1" x14ac:dyDescent="0.15">
      <c r="B18" s="985"/>
      <c r="C18" s="389"/>
      <c r="D18" s="389"/>
      <c r="E18" s="390"/>
      <c r="F18" s="389"/>
      <c r="G18" s="391">
        <f>D18*F18</f>
        <v>0</v>
      </c>
      <c r="H18" s="146"/>
      <c r="I18" s="1163"/>
      <c r="J18" s="401"/>
      <c r="K18" s="405"/>
      <c r="L18" s="405"/>
      <c r="M18" s="405"/>
      <c r="N18" s="406">
        <f t="shared" ref="N18:N19" si="5">K18*L18*M18</f>
        <v>0</v>
      </c>
      <c r="O18" s="163"/>
      <c r="P18" s="235"/>
      <c r="Q18" s="133"/>
      <c r="R18" s="577"/>
      <c r="S18" s="133"/>
      <c r="T18" s="1169"/>
      <c r="U18" s="1170"/>
      <c r="V18" s="156"/>
    </row>
    <row r="19" spans="2:22" ht="15" customHeight="1" x14ac:dyDescent="0.15">
      <c r="B19" s="985"/>
      <c r="C19" s="389"/>
      <c r="D19" s="389"/>
      <c r="E19" s="389"/>
      <c r="F19" s="389"/>
      <c r="G19" s="391">
        <f t="shared" ref="G19" si="6">D19*F19</f>
        <v>0</v>
      </c>
      <c r="H19" s="146"/>
      <c r="I19" s="1163"/>
      <c r="J19" s="401"/>
      <c r="K19" s="405"/>
      <c r="L19" s="405"/>
      <c r="M19" s="405"/>
      <c r="N19" s="406">
        <f t="shared" si="5"/>
        <v>0</v>
      </c>
      <c r="O19" s="163"/>
      <c r="P19" s="235"/>
      <c r="Q19" s="133"/>
      <c r="R19" s="577"/>
      <c r="S19" s="133"/>
      <c r="T19" s="1169"/>
      <c r="U19" s="1170"/>
      <c r="V19" s="156"/>
    </row>
    <row r="20" spans="2:22" ht="15" customHeight="1" thickBot="1" x14ac:dyDescent="0.2">
      <c r="B20" s="1198"/>
      <c r="C20" s="138" t="s">
        <v>152</v>
      </c>
      <c r="D20" s="139"/>
      <c r="E20" s="139"/>
      <c r="F20" s="139"/>
      <c r="G20" s="140">
        <f>SUM(G17:G19)</f>
        <v>0</v>
      </c>
      <c r="H20" s="146"/>
      <c r="I20" s="1164"/>
      <c r="J20" s="236" t="s">
        <v>405</v>
      </c>
      <c r="K20" s="150">
        <f>SUM(K17:K19)</f>
        <v>0</v>
      </c>
      <c r="L20" s="151">
        <f>SUM(L17:L19)</f>
        <v>0</v>
      </c>
      <c r="M20" s="152"/>
      <c r="N20" s="375">
        <f>SUM(N17:N19)</f>
        <v>0</v>
      </c>
      <c r="O20" s="163"/>
      <c r="P20" s="235"/>
      <c r="Q20" s="133"/>
      <c r="R20" s="577"/>
      <c r="S20" s="133"/>
      <c r="T20" s="1169"/>
      <c r="U20" s="1170"/>
      <c r="V20" s="156"/>
    </row>
    <row r="21" spans="2:22" ht="15" customHeight="1" thickTop="1" thickBot="1" x14ac:dyDescent="0.2">
      <c r="B21" s="1196" t="s">
        <v>164</v>
      </c>
      <c r="C21" s="389" t="s">
        <v>406</v>
      </c>
      <c r="D21" s="389">
        <f>131*4.3</f>
        <v>563.29999999999995</v>
      </c>
      <c r="E21" s="390" t="s">
        <v>401</v>
      </c>
      <c r="F21" s="389">
        <f>510/20</f>
        <v>25.5</v>
      </c>
      <c r="G21" s="391">
        <f>D21*F21</f>
        <v>14364.15</v>
      </c>
      <c r="H21" s="146"/>
      <c r="I21" s="1162" t="s">
        <v>173</v>
      </c>
      <c r="J21" s="401" t="s">
        <v>708</v>
      </c>
      <c r="K21" s="405">
        <v>28.2</v>
      </c>
      <c r="L21" s="405">
        <v>6.1</v>
      </c>
      <c r="M21" s="405">
        <v>102.1</v>
      </c>
      <c r="N21" s="406">
        <f>K21*L21*M21</f>
        <v>17563.241999999998</v>
      </c>
      <c r="O21" s="163"/>
      <c r="P21" s="291" t="s">
        <v>29</v>
      </c>
      <c r="Q21" s="247"/>
      <c r="R21" s="247"/>
      <c r="S21" s="247"/>
      <c r="T21" s="1222"/>
      <c r="U21" s="1206"/>
      <c r="V21" s="292">
        <f>SUM(V5:V20)</f>
        <v>5806.666666666667</v>
      </c>
    </row>
    <row r="22" spans="2:22" ht="15" customHeight="1" x14ac:dyDescent="0.15">
      <c r="B22" s="985"/>
      <c r="C22" s="389"/>
      <c r="D22" s="389"/>
      <c r="E22" s="390"/>
      <c r="F22" s="389"/>
      <c r="G22" s="391">
        <f>D22*F22</f>
        <v>0</v>
      </c>
      <c r="H22" s="146"/>
      <c r="I22" s="1163"/>
      <c r="J22" s="401"/>
      <c r="K22" s="405"/>
      <c r="L22" s="405"/>
      <c r="M22" s="405"/>
      <c r="N22" s="406">
        <f t="shared" ref="N22:N23" si="7">K22*L22*M22</f>
        <v>0</v>
      </c>
      <c r="O22" s="163"/>
    </row>
    <row r="23" spans="2:22" ht="15" customHeight="1" thickBot="1" x14ac:dyDescent="0.2">
      <c r="B23" s="985"/>
      <c r="C23" s="389"/>
      <c r="D23" s="389"/>
      <c r="E23" s="390"/>
      <c r="F23" s="389"/>
      <c r="G23" s="391">
        <f>D23*F23</f>
        <v>0</v>
      </c>
      <c r="H23" s="146"/>
      <c r="I23" s="1163"/>
      <c r="J23" s="401"/>
      <c r="K23" s="405"/>
      <c r="L23" s="405"/>
      <c r="M23" s="405"/>
      <c r="N23" s="406">
        <f t="shared" si="7"/>
        <v>0</v>
      </c>
      <c r="O23" s="163"/>
      <c r="P23" s="43" t="s">
        <v>228</v>
      </c>
    </row>
    <row r="24" spans="2:22" ht="15" customHeight="1" thickBot="1" x14ac:dyDescent="0.2">
      <c r="B24" s="1197"/>
      <c r="C24" s="141" t="s">
        <v>154</v>
      </c>
      <c r="D24" s="142"/>
      <c r="E24" s="142"/>
      <c r="F24" s="148"/>
      <c r="G24" s="143">
        <f>SUM(G21:G23)</f>
        <v>14364.15</v>
      </c>
      <c r="H24" s="146"/>
      <c r="I24" s="1164"/>
      <c r="J24" s="236" t="s">
        <v>407</v>
      </c>
      <c r="K24" s="150">
        <f>SUM(K21:K23)</f>
        <v>28.2</v>
      </c>
      <c r="L24" s="151">
        <f>SUM(L21:L23)</f>
        <v>6.1</v>
      </c>
      <c r="M24" s="152"/>
      <c r="N24" s="375">
        <f>SUM(N21:N23)</f>
        <v>17563.241999999998</v>
      </c>
      <c r="O24" s="163"/>
      <c r="P24" s="362" t="s">
        <v>180</v>
      </c>
      <c r="Q24" s="363" t="s">
        <v>175</v>
      </c>
      <c r="R24" s="363" t="s">
        <v>176</v>
      </c>
      <c r="S24" s="363" t="s">
        <v>394</v>
      </c>
      <c r="T24" s="363" t="s">
        <v>177</v>
      </c>
      <c r="U24" s="583" t="s">
        <v>181</v>
      </c>
      <c r="V24" s="364" t="s">
        <v>178</v>
      </c>
    </row>
    <row r="25" spans="2:22" ht="15" customHeight="1" thickTop="1" x14ac:dyDescent="0.15">
      <c r="I25" s="1162" t="s">
        <v>245</v>
      </c>
      <c r="J25" s="401"/>
      <c r="K25" s="405"/>
      <c r="L25" s="405"/>
      <c r="M25" s="405"/>
      <c r="N25" s="406">
        <f>K25*L25*M25</f>
        <v>0</v>
      </c>
      <c r="O25" s="163"/>
      <c r="P25" s="588" t="s">
        <v>408</v>
      </c>
      <c r="Q25" s="578">
        <v>10</v>
      </c>
      <c r="R25" s="589" t="s">
        <v>409</v>
      </c>
      <c r="S25" s="578">
        <v>500</v>
      </c>
      <c r="T25" s="133">
        <v>2</v>
      </c>
      <c r="U25" s="263">
        <v>30</v>
      </c>
      <c r="V25" s="156">
        <f>Q25*S25/T25/U25</f>
        <v>83.333333333333329</v>
      </c>
    </row>
    <row r="26" spans="2:22" ht="15" customHeight="1" thickBot="1" x14ac:dyDescent="0.2">
      <c r="B26" s="4" t="s">
        <v>420</v>
      </c>
      <c r="C26" s="4"/>
      <c r="D26" s="45"/>
      <c r="E26" s="4"/>
      <c r="F26" s="45"/>
      <c r="G26" s="47"/>
      <c r="H26" s="147"/>
      <c r="I26" s="1163"/>
      <c r="J26" s="401"/>
      <c r="K26" s="405"/>
      <c r="L26" s="405"/>
      <c r="M26" s="405"/>
      <c r="N26" s="406">
        <f t="shared" ref="N26:N27" si="8">K26*L26*M26</f>
        <v>0</v>
      </c>
      <c r="O26" s="163"/>
      <c r="P26" s="235"/>
      <c r="Q26" s="133"/>
      <c r="R26" s="577"/>
      <c r="S26" s="133"/>
      <c r="T26" s="133"/>
      <c r="U26" s="263"/>
      <c r="V26" s="156"/>
    </row>
    <row r="27" spans="2:22" ht="15" customHeight="1" x14ac:dyDescent="0.15">
      <c r="B27" s="357" t="s">
        <v>91</v>
      </c>
      <c r="C27" s="358" t="s">
        <v>145</v>
      </c>
      <c r="D27" s="358" t="s">
        <v>146</v>
      </c>
      <c r="E27" s="358" t="s">
        <v>147</v>
      </c>
      <c r="F27" s="359" t="s">
        <v>24</v>
      </c>
      <c r="G27" s="360" t="s">
        <v>148</v>
      </c>
      <c r="H27" s="145"/>
      <c r="I27" s="1163"/>
      <c r="J27" s="401"/>
      <c r="K27" s="405"/>
      <c r="L27" s="405"/>
      <c r="M27" s="405"/>
      <c r="N27" s="406">
        <f t="shared" si="8"/>
        <v>0</v>
      </c>
      <c r="O27" s="163"/>
      <c r="P27" s="235"/>
      <c r="Q27" s="133"/>
      <c r="R27" s="577"/>
      <c r="S27" s="133"/>
      <c r="T27" s="133"/>
      <c r="U27" s="263"/>
      <c r="V27" s="156"/>
    </row>
    <row r="28" spans="2:22" ht="15" customHeight="1" thickBot="1" x14ac:dyDescent="0.2">
      <c r="B28" s="1025" t="s">
        <v>30</v>
      </c>
      <c r="C28" s="389" t="s">
        <v>781</v>
      </c>
      <c r="D28" s="389">
        <v>300</v>
      </c>
      <c r="E28" s="390" t="s">
        <v>410</v>
      </c>
      <c r="F28" s="389">
        <f>62610/10000</f>
        <v>6.2610000000000001</v>
      </c>
      <c r="G28" s="134">
        <f>D28*F28</f>
        <v>1878.3</v>
      </c>
      <c r="H28" s="146"/>
      <c r="I28" s="1164"/>
      <c r="J28" s="236" t="s">
        <v>402</v>
      </c>
      <c r="K28" s="150">
        <f>SUM(K25:K27)</f>
        <v>0</v>
      </c>
      <c r="L28" s="151">
        <f>SUM(L25:L27)</f>
        <v>0</v>
      </c>
      <c r="M28" s="152"/>
      <c r="N28" s="375">
        <f>SUM(N25:N27)</f>
        <v>0</v>
      </c>
      <c r="O28" s="163"/>
      <c r="P28" s="235"/>
      <c r="Q28" s="133"/>
      <c r="R28" s="577"/>
      <c r="S28" s="133"/>
      <c r="T28" s="133"/>
      <c r="U28" s="263"/>
      <c r="V28" s="156"/>
    </row>
    <row r="29" spans="2:22" ht="15" customHeight="1" thickTop="1" x14ac:dyDescent="0.15">
      <c r="B29" s="985"/>
      <c r="C29" s="725" t="s">
        <v>782</v>
      </c>
      <c r="D29" s="389">
        <v>180</v>
      </c>
      <c r="E29" s="390" t="s">
        <v>411</v>
      </c>
      <c r="F29" s="389">
        <f>4180/500</f>
        <v>8.36</v>
      </c>
      <c r="G29" s="134">
        <f>D29*F29</f>
        <v>1504.8</v>
      </c>
      <c r="H29" s="146"/>
      <c r="I29" s="1162" t="s">
        <v>169</v>
      </c>
      <c r="J29" s="401" t="s">
        <v>708</v>
      </c>
      <c r="K29" s="405">
        <v>31.4</v>
      </c>
      <c r="L29" s="405">
        <v>3.2</v>
      </c>
      <c r="M29" s="405">
        <v>14</v>
      </c>
      <c r="N29" s="406">
        <f>K29*L29*M29</f>
        <v>1406.72</v>
      </c>
      <c r="O29" s="163"/>
      <c r="P29" s="235"/>
      <c r="Q29" s="133"/>
      <c r="R29" s="577"/>
      <c r="S29" s="133"/>
      <c r="T29" s="133"/>
      <c r="U29" s="263"/>
      <c r="V29" s="156"/>
    </row>
    <row r="30" spans="2:22" ht="15" customHeight="1" x14ac:dyDescent="0.15">
      <c r="B30" s="985"/>
      <c r="C30" s="389" t="s">
        <v>30</v>
      </c>
      <c r="D30" s="389">
        <v>1000</v>
      </c>
      <c r="E30" s="390" t="s">
        <v>412</v>
      </c>
      <c r="F30" s="389">
        <f>42580/20000</f>
        <v>2.129</v>
      </c>
      <c r="G30" s="134">
        <f>D30*F30</f>
        <v>2129</v>
      </c>
      <c r="H30" s="146"/>
      <c r="I30" s="1163"/>
      <c r="J30" s="401" t="s">
        <v>709</v>
      </c>
      <c r="K30" s="405">
        <v>4</v>
      </c>
      <c r="L30" s="405">
        <v>1.9</v>
      </c>
      <c r="M30" s="405">
        <v>14</v>
      </c>
      <c r="N30" s="406">
        <f t="shared" ref="N30:N31" si="9">K30*L30*M30</f>
        <v>106.39999999999999</v>
      </c>
      <c r="O30" s="44"/>
      <c r="P30" s="235"/>
      <c r="Q30" s="133"/>
      <c r="R30" s="577"/>
      <c r="S30" s="133"/>
      <c r="T30" s="133"/>
      <c r="U30" s="263"/>
      <c r="V30" s="156"/>
    </row>
    <row r="31" spans="2:22" ht="15" customHeight="1" x14ac:dyDescent="0.15">
      <c r="B31" s="985"/>
      <c r="C31" s="376"/>
      <c r="D31" s="389"/>
      <c r="E31" s="390"/>
      <c r="F31" s="389"/>
      <c r="G31" s="391"/>
      <c r="H31" s="146"/>
      <c r="I31" s="1163"/>
      <c r="J31" s="401" t="s">
        <v>710</v>
      </c>
      <c r="K31" s="405">
        <v>24.5</v>
      </c>
      <c r="L31" s="405">
        <v>6.7</v>
      </c>
      <c r="M31" s="405">
        <v>14</v>
      </c>
      <c r="N31" s="406">
        <f t="shared" si="9"/>
        <v>2298.1</v>
      </c>
      <c r="P31" s="235"/>
      <c r="Q31" s="133"/>
      <c r="R31" s="577"/>
      <c r="S31" s="133"/>
      <c r="T31" s="133"/>
      <c r="U31" s="263"/>
      <c r="V31" s="156"/>
    </row>
    <row r="32" spans="2:22" ht="15" customHeight="1" thickBot="1" x14ac:dyDescent="0.2">
      <c r="B32" s="985"/>
      <c r="C32" s="389"/>
      <c r="D32" s="389"/>
      <c r="E32" s="390"/>
      <c r="F32" s="389"/>
      <c r="G32" s="391">
        <f t="shared" ref="G32:G37" si="10">D32*F32</f>
        <v>0</v>
      </c>
      <c r="H32" s="146"/>
      <c r="I32" s="1165"/>
      <c r="J32" s="377" t="s">
        <v>402</v>
      </c>
      <c r="K32" s="378">
        <f>SUM(K29:K31)</f>
        <v>59.9</v>
      </c>
      <c r="L32" s="379">
        <f>SUM(L29:L31)</f>
        <v>11.8</v>
      </c>
      <c r="M32" s="380"/>
      <c r="N32" s="381">
        <f>SUM(N29:N31)</f>
        <v>3811.2200000000003</v>
      </c>
      <c r="P32" s="235"/>
      <c r="Q32" s="133"/>
      <c r="R32" s="577"/>
      <c r="S32" s="133"/>
      <c r="T32" s="133"/>
      <c r="U32" s="263"/>
      <c r="V32" s="156"/>
    </row>
    <row r="33" spans="2:22" ht="15" customHeight="1" x14ac:dyDescent="0.15">
      <c r="B33" s="985"/>
      <c r="C33" s="389"/>
      <c r="D33" s="389"/>
      <c r="E33" s="390"/>
      <c r="F33" s="389"/>
      <c r="G33" s="391">
        <f t="shared" si="10"/>
        <v>0</v>
      </c>
      <c r="H33" s="146"/>
      <c r="I33" s="128"/>
      <c r="J33" s="128"/>
      <c r="K33" s="128"/>
      <c r="L33" s="128"/>
      <c r="M33" s="128"/>
      <c r="N33" s="128"/>
      <c r="P33" s="235"/>
      <c r="Q33" s="133"/>
      <c r="R33" s="577"/>
      <c r="S33" s="133"/>
      <c r="T33" s="133"/>
      <c r="U33" s="263"/>
      <c r="V33" s="156"/>
    </row>
    <row r="34" spans="2:22" ht="15" customHeight="1" thickBot="1" x14ac:dyDescent="0.2">
      <c r="B34" s="985"/>
      <c r="C34" s="389"/>
      <c r="D34" s="389"/>
      <c r="E34" s="390"/>
      <c r="F34" s="389"/>
      <c r="G34" s="391">
        <f t="shared" si="10"/>
        <v>0</v>
      </c>
      <c r="H34" s="146"/>
      <c r="I34" s="118" t="s">
        <v>226</v>
      </c>
      <c r="J34" s="118"/>
      <c r="K34" s="118"/>
      <c r="L34" s="118"/>
      <c r="M34" s="118"/>
      <c r="P34" s="581" t="s">
        <v>219</v>
      </c>
      <c r="Q34" s="247"/>
      <c r="R34" s="247"/>
      <c r="S34" s="247"/>
      <c r="T34" s="247"/>
      <c r="U34" s="157"/>
      <c r="V34" s="292">
        <f>SUM(V25:V33)</f>
        <v>83.333333333333329</v>
      </c>
    </row>
    <row r="35" spans="2:22" ht="15" customHeight="1" x14ac:dyDescent="0.15">
      <c r="B35" s="985"/>
      <c r="C35" s="389"/>
      <c r="D35" s="389"/>
      <c r="E35" s="390"/>
      <c r="F35" s="389"/>
      <c r="G35" s="391">
        <f t="shared" si="10"/>
        <v>0</v>
      </c>
      <c r="H35" s="146"/>
      <c r="I35" s="221" t="s">
        <v>214</v>
      </c>
      <c r="J35" s="298" t="s">
        <v>5</v>
      </c>
      <c r="K35" s="1182" t="s">
        <v>215</v>
      </c>
      <c r="L35" s="1183"/>
      <c r="M35" s="238" t="s">
        <v>181</v>
      </c>
      <c r="N35" s="300" t="s">
        <v>413</v>
      </c>
    </row>
    <row r="36" spans="2:22" ht="15" customHeight="1" thickBot="1" x14ac:dyDescent="0.2">
      <c r="B36" s="985"/>
      <c r="C36" s="389"/>
      <c r="D36" s="389"/>
      <c r="E36" s="390"/>
      <c r="F36" s="389"/>
      <c r="G36" s="391">
        <f t="shared" si="10"/>
        <v>0</v>
      </c>
      <c r="H36" s="146"/>
      <c r="I36" s="1166" t="s">
        <v>2</v>
      </c>
      <c r="J36" s="144" t="s">
        <v>612</v>
      </c>
      <c r="K36" s="1184">
        <v>5940000</v>
      </c>
      <c r="L36" s="1184"/>
      <c r="M36" s="397">
        <v>27</v>
      </c>
      <c r="N36" s="229">
        <f>+K36/M36*0.014*0.3</f>
        <v>924</v>
      </c>
      <c r="P36" s="118" t="s">
        <v>220</v>
      </c>
      <c r="Q36" s="118"/>
      <c r="R36" s="118"/>
      <c r="S36" s="118"/>
      <c r="T36" s="118"/>
    </row>
    <row r="37" spans="2:22" ht="15" customHeight="1" x14ac:dyDescent="0.15">
      <c r="B37" s="985"/>
      <c r="C37" s="389"/>
      <c r="D37" s="389"/>
      <c r="E37" s="390"/>
      <c r="F37" s="389"/>
      <c r="G37" s="391">
        <f t="shared" si="10"/>
        <v>0</v>
      </c>
      <c r="H37" s="146"/>
      <c r="I37" s="1167"/>
      <c r="J37" s="144" t="s">
        <v>613</v>
      </c>
      <c r="K37" s="1184">
        <v>10692000</v>
      </c>
      <c r="L37" s="1184"/>
      <c r="M37" s="397">
        <v>27</v>
      </c>
      <c r="N37" s="229">
        <f>+K37/M37*0.014*0.3</f>
        <v>1663.2</v>
      </c>
      <c r="P37" s="221" t="s">
        <v>212</v>
      </c>
      <c r="Q37" s="1181" t="s">
        <v>221</v>
      </c>
      <c r="R37" s="1181"/>
      <c r="S37" s="614" t="s">
        <v>224</v>
      </c>
      <c r="T37" s="614" t="s">
        <v>223</v>
      </c>
      <c r="U37" s="238" t="s">
        <v>181</v>
      </c>
      <c r="V37" s="239" t="s">
        <v>413</v>
      </c>
    </row>
    <row r="38" spans="2:22" ht="15" customHeight="1" thickBot="1" x14ac:dyDescent="0.2">
      <c r="B38" s="1198"/>
      <c r="C38" s="136" t="s">
        <v>151</v>
      </c>
      <c r="D38" s="136"/>
      <c r="E38" s="136"/>
      <c r="F38" s="136"/>
      <c r="G38" s="137">
        <f>SUM(G28:G37)</f>
        <v>5512.1</v>
      </c>
      <c r="H38" s="146"/>
      <c r="I38" s="1167"/>
      <c r="J38" s="144" t="s">
        <v>614</v>
      </c>
      <c r="K38" s="1184">
        <v>1761750</v>
      </c>
      <c r="L38" s="1184"/>
      <c r="M38" s="397">
        <v>27</v>
      </c>
      <c r="N38" s="229">
        <f>+K38/M38*0.014*0.3</f>
        <v>274.05</v>
      </c>
      <c r="O38" s="154"/>
      <c r="P38" s="1179" t="s">
        <v>222</v>
      </c>
      <c r="Q38" s="225" t="s">
        <v>211</v>
      </c>
      <c r="R38" s="242"/>
      <c r="S38" s="226">
        <v>3880</v>
      </c>
      <c r="T38" s="243">
        <v>1</v>
      </c>
      <c r="U38" s="226">
        <v>27</v>
      </c>
      <c r="V38" s="229">
        <v>3880</v>
      </c>
    </row>
    <row r="39" spans="2:22" ht="15" customHeight="1" thickTop="1" x14ac:dyDescent="0.15">
      <c r="B39" s="1196" t="s">
        <v>165</v>
      </c>
      <c r="C39" s="726" t="s">
        <v>783</v>
      </c>
      <c r="D39" s="389">
        <v>60</v>
      </c>
      <c r="E39" s="390" t="s">
        <v>412</v>
      </c>
      <c r="F39" s="389">
        <f>1450/500</f>
        <v>2.9</v>
      </c>
      <c r="G39" s="391">
        <f>D39*F39</f>
        <v>174</v>
      </c>
      <c r="H39" s="146"/>
      <c r="I39" s="1167"/>
      <c r="J39" s="144"/>
      <c r="K39" s="1184"/>
      <c r="L39" s="1184"/>
      <c r="M39" s="582"/>
      <c r="N39" s="229"/>
      <c r="O39" s="154"/>
      <c r="P39" s="1177"/>
      <c r="Q39" s="225"/>
      <c r="R39" s="242"/>
      <c r="S39" s="226"/>
      <c r="T39" s="243"/>
      <c r="U39" s="226"/>
      <c r="V39" s="229"/>
    </row>
    <row r="40" spans="2:22" ht="15" customHeight="1" x14ac:dyDescent="0.15">
      <c r="B40" s="985"/>
      <c r="C40" s="389" t="s">
        <v>448</v>
      </c>
      <c r="D40" s="389">
        <v>1000</v>
      </c>
      <c r="E40" s="390" t="s">
        <v>412</v>
      </c>
      <c r="F40" s="389">
        <f>96020/20000</f>
        <v>4.8010000000000002</v>
      </c>
      <c r="G40" s="391">
        <f>D40*F40</f>
        <v>4801</v>
      </c>
      <c r="H40" s="146"/>
      <c r="I40" s="1167"/>
      <c r="J40" s="144"/>
      <c r="K40" s="1184"/>
      <c r="L40" s="1184"/>
      <c r="M40" s="582"/>
      <c r="N40" s="229"/>
      <c r="O40" s="154"/>
      <c r="P40" s="1177"/>
      <c r="Q40" s="225"/>
      <c r="R40" s="242"/>
      <c r="S40" s="226"/>
      <c r="T40" s="243"/>
      <c r="U40" s="226"/>
      <c r="V40" s="229"/>
    </row>
    <row r="41" spans="2:22" ht="15" customHeight="1" x14ac:dyDescent="0.15">
      <c r="B41" s="985"/>
      <c r="C41" s="389"/>
      <c r="D41" s="389"/>
      <c r="E41" s="390"/>
      <c r="F41" s="389"/>
      <c r="G41" s="391">
        <f>D41*F41</f>
        <v>0</v>
      </c>
      <c r="H41" s="146"/>
      <c r="I41" s="1167"/>
      <c r="J41" s="144"/>
      <c r="K41" s="1184"/>
      <c r="L41" s="1184"/>
      <c r="M41" s="582"/>
      <c r="N41" s="229"/>
      <c r="O41" s="154"/>
      <c r="P41" s="1177"/>
      <c r="Q41" s="225"/>
      <c r="R41" s="242"/>
      <c r="S41" s="226"/>
      <c r="T41" s="243"/>
      <c r="U41" s="226"/>
      <c r="V41" s="229"/>
    </row>
    <row r="42" spans="2:22" ht="15" customHeight="1" thickBot="1" x14ac:dyDescent="0.2">
      <c r="B42" s="985"/>
      <c r="C42" s="389"/>
      <c r="D42" s="389"/>
      <c r="E42" s="390"/>
      <c r="F42" s="389"/>
      <c r="G42" s="391">
        <f t="shared" ref="G42:G52" si="11">D42*F42</f>
        <v>0</v>
      </c>
      <c r="H42" s="146"/>
      <c r="I42" s="1168"/>
      <c r="J42" s="222" t="s">
        <v>152</v>
      </c>
      <c r="K42" s="1215"/>
      <c r="L42" s="1216"/>
      <c r="M42" s="223"/>
      <c r="N42" s="228">
        <f>SUM(N36:N41)</f>
        <v>2861.25</v>
      </c>
      <c r="O42" s="154"/>
      <c r="P42" s="1177"/>
      <c r="Q42" s="225"/>
      <c r="R42" s="242"/>
      <c r="S42" s="226"/>
      <c r="T42" s="243"/>
      <c r="U42" s="226"/>
      <c r="V42" s="229"/>
    </row>
    <row r="43" spans="2:22" ht="15" customHeight="1" thickTop="1" x14ac:dyDescent="0.15">
      <c r="B43" s="985"/>
      <c r="C43" s="389"/>
      <c r="D43" s="389"/>
      <c r="E43" s="390"/>
      <c r="F43" s="389"/>
      <c r="G43" s="391"/>
      <c r="H43" s="146"/>
      <c r="I43" s="1199" t="s">
        <v>216</v>
      </c>
      <c r="J43" s="224" t="s">
        <v>414</v>
      </c>
      <c r="K43" s="1217">
        <v>8200</v>
      </c>
      <c r="L43" s="1217"/>
      <c r="M43" s="584">
        <v>27</v>
      </c>
      <c r="N43" s="241">
        <f>+K43/M43</f>
        <v>303.7037037037037</v>
      </c>
      <c r="O43" s="154"/>
      <c r="P43" s="1177"/>
      <c r="Q43" s="225"/>
      <c r="R43" s="242"/>
      <c r="S43" s="226"/>
      <c r="T43" s="243"/>
      <c r="U43" s="226"/>
      <c r="V43" s="229"/>
    </row>
    <row r="44" spans="2:22" ht="15" customHeight="1" thickBot="1" x14ac:dyDescent="0.2">
      <c r="B44" s="985"/>
      <c r="C44" s="389"/>
      <c r="D44" s="389"/>
      <c r="E44" s="390"/>
      <c r="F44" s="389"/>
      <c r="G44" s="391"/>
      <c r="H44" s="146"/>
      <c r="I44" s="1200"/>
      <c r="J44" s="225" t="s">
        <v>229</v>
      </c>
      <c r="K44" s="1184">
        <v>4100</v>
      </c>
      <c r="L44" s="1184"/>
      <c r="M44" s="582">
        <v>30</v>
      </c>
      <c r="N44" s="229">
        <f>K44/M44</f>
        <v>136.66666666666666</v>
      </c>
      <c r="O44" s="154"/>
      <c r="P44" s="1180"/>
      <c r="Q44" s="230" t="s">
        <v>225</v>
      </c>
      <c r="R44" s="231"/>
      <c r="S44" s="231"/>
      <c r="T44" s="231"/>
      <c r="U44" s="231"/>
      <c r="V44" s="232">
        <f>SUM(V38:V43)</f>
        <v>3880</v>
      </c>
    </row>
    <row r="45" spans="2:22" ht="15" customHeight="1" thickTop="1" x14ac:dyDescent="0.15">
      <c r="B45" s="985"/>
      <c r="C45" s="389"/>
      <c r="D45" s="389"/>
      <c r="E45" s="390"/>
      <c r="F45" s="389"/>
      <c r="G45" s="391"/>
      <c r="H45" s="146"/>
      <c r="I45" s="1200"/>
      <c r="J45" s="144"/>
      <c r="K45" s="1184"/>
      <c r="L45" s="1184"/>
      <c r="M45" s="582"/>
      <c r="N45" s="229"/>
      <c r="O45" s="154"/>
      <c r="P45" s="1176" t="s">
        <v>230</v>
      </c>
      <c r="Q45" s="1173" t="s">
        <v>233</v>
      </c>
      <c r="R45" s="591" t="s">
        <v>234</v>
      </c>
      <c r="S45" s="224">
        <v>35750</v>
      </c>
      <c r="T45" s="244">
        <v>1</v>
      </c>
      <c r="U45" s="224">
        <v>27</v>
      </c>
      <c r="V45" s="240">
        <f>+S45*T45/U45</f>
        <v>1324.0740740740741</v>
      </c>
    </row>
    <row r="46" spans="2:22" ht="15" customHeight="1" thickBot="1" x14ac:dyDescent="0.2">
      <c r="B46" s="985"/>
      <c r="C46" s="389"/>
      <c r="D46" s="389"/>
      <c r="E46" s="390"/>
      <c r="F46" s="389"/>
      <c r="G46" s="391">
        <f t="shared" si="11"/>
        <v>0</v>
      </c>
      <c r="H46" s="146"/>
      <c r="I46" s="1218"/>
      <c r="J46" s="222" t="s">
        <v>152</v>
      </c>
      <c r="K46" s="1215"/>
      <c r="L46" s="1216"/>
      <c r="M46" s="223"/>
      <c r="N46" s="228">
        <f>SUM(N43:N45)</f>
        <v>440.37037037037032</v>
      </c>
      <c r="O46" s="154"/>
      <c r="P46" s="1177"/>
      <c r="Q46" s="1174"/>
      <c r="R46" s="245" t="s">
        <v>229</v>
      </c>
      <c r="S46" s="225">
        <v>15600</v>
      </c>
      <c r="T46" s="243">
        <v>1</v>
      </c>
      <c r="U46" s="225">
        <v>30</v>
      </c>
      <c r="V46" s="229">
        <f>+S46*T46/U46</f>
        <v>520</v>
      </c>
    </row>
    <row r="47" spans="2:22" ht="15" customHeight="1" thickTop="1" x14ac:dyDescent="0.15">
      <c r="B47" s="985"/>
      <c r="C47" s="389"/>
      <c r="D47" s="389"/>
      <c r="E47" s="390"/>
      <c r="F47" s="389"/>
      <c r="G47" s="391">
        <f t="shared" si="11"/>
        <v>0</v>
      </c>
      <c r="H47" s="146"/>
      <c r="I47" s="1199" t="s">
        <v>217</v>
      </c>
      <c r="J47" s="224" t="s">
        <v>414</v>
      </c>
      <c r="K47" s="1217">
        <v>11500</v>
      </c>
      <c r="L47" s="1217"/>
      <c r="M47" s="584">
        <v>27</v>
      </c>
      <c r="N47" s="240">
        <f>K47/M47</f>
        <v>425.92592592592592</v>
      </c>
      <c r="O47" s="154"/>
      <c r="P47" s="1177"/>
      <c r="Q47" s="1174"/>
      <c r="R47" s="245"/>
      <c r="S47" s="225"/>
      <c r="T47" s="225"/>
      <c r="U47" s="144"/>
      <c r="V47" s="246"/>
    </row>
    <row r="48" spans="2:22" ht="15" customHeight="1" x14ac:dyDescent="0.15">
      <c r="B48" s="985"/>
      <c r="C48" s="389"/>
      <c r="D48" s="389"/>
      <c r="E48" s="390"/>
      <c r="F48" s="389"/>
      <c r="G48" s="391">
        <f t="shared" si="11"/>
        <v>0</v>
      </c>
      <c r="H48" s="146"/>
      <c r="I48" s="1200"/>
      <c r="J48" s="225"/>
      <c r="K48" s="1184"/>
      <c r="L48" s="1184"/>
      <c r="M48" s="582"/>
      <c r="N48" s="229"/>
      <c r="O48" s="154"/>
      <c r="P48" s="1177"/>
      <c r="Q48" s="1174"/>
      <c r="R48" s="521"/>
      <c r="S48" s="613"/>
      <c r="T48" s="613"/>
      <c r="U48" s="613"/>
      <c r="V48" s="668"/>
    </row>
    <row r="49" spans="2:22" ht="15" customHeight="1" thickBot="1" x14ac:dyDescent="0.2">
      <c r="B49" s="1198"/>
      <c r="C49" s="138" t="s">
        <v>152</v>
      </c>
      <c r="D49" s="139"/>
      <c r="E49" s="139"/>
      <c r="F49" s="139"/>
      <c r="G49" s="140">
        <f>SUM(G39:G48)</f>
        <v>4975</v>
      </c>
      <c r="H49" s="146"/>
      <c r="I49" s="1200"/>
      <c r="J49" s="144"/>
      <c r="K49" s="1184"/>
      <c r="L49" s="1184"/>
      <c r="M49" s="582"/>
      <c r="N49" s="229"/>
      <c r="O49" s="154"/>
      <c r="P49" s="1177"/>
      <c r="Q49" s="1175"/>
      <c r="R49" s="245"/>
      <c r="S49" s="225"/>
      <c r="T49" s="225"/>
      <c r="U49" s="144"/>
      <c r="V49" s="246"/>
    </row>
    <row r="50" spans="2:22" ht="15" customHeight="1" thickTop="1" thickBot="1" x14ac:dyDescent="0.2">
      <c r="B50" s="1196" t="s">
        <v>32</v>
      </c>
      <c r="C50" s="382" t="s">
        <v>784</v>
      </c>
      <c r="D50" s="382">
        <v>10</v>
      </c>
      <c r="E50" s="383" t="s">
        <v>401</v>
      </c>
      <c r="F50" s="382">
        <f>24330/10</f>
        <v>2433</v>
      </c>
      <c r="G50" s="384">
        <f t="shared" si="11"/>
        <v>24330</v>
      </c>
      <c r="H50" s="146"/>
      <c r="I50" s="1218"/>
      <c r="J50" s="222" t="s">
        <v>152</v>
      </c>
      <c r="K50" s="1215"/>
      <c r="L50" s="1216"/>
      <c r="M50" s="223"/>
      <c r="N50" s="228">
        <f>SUM(N47:N49)</f>
        <v>425.92592592592592</v>
      </c>
      <c r="O50" s="154"/>
      <c r="P50" s="1177"/>
      <c r="Q50" s="230" t="s">
        <v>225</v>
      </c>
      <c r="R50" s="231"/>
      <c r="S50" s="231"/>
      <c r="T50" s="231"/>
      <c r="U50" s="231"/>
      <c r="V50" s="232">
        <f>SUM(V45:V49)</f>
        <v>1844.0740740740741</v>
      </c>
    </row>
    <row r="51" spans="2:22" ht="15" customHeight="1" thickTop="1" x14ac:dyDescent="0.15">
      <c r="B51" s="985"/>
      <c r="C51" s="382"/>
      <c r="D51" s="382"/>
      <c r="E51" s="382"/>
      <c r="F51" s="382"/>
      <c r="G51" s="384">
        <f t="shared" si="11"/>
        <v>0</v>
      </c>
      <c r="H51" s="146"/>
      <c r="I51" s="1199" t="s">
        <v>218</v>
      </c>
      <c r="J51" s="224" t="s">
        <v>54</v>
      </c>
      <c r="K51" s="1201">
        <v>2400</v>
      </c>
      <c r="L51" s="1202"/>
      <c r="M51" s="584">
        <v>27</v>
      </c>
      <c r="N51" s="241">
        <f>+K51/M51</f>
        <v>88.888888888888886</v>
      </c>
      <c r="O51" s="154"/>
      <c r="P51" s="1177"/>
      <c r="Q51" s="1173" t="s">
        <v>235</v>
      </c>
      <c r="R51" s="591" t="s">
        <v>234</v>
      </c>
      <c r="S51" s="224">
        <v>60000</v>
      </c>
      <c r="T51" s="244">
        <v>1</v>
      </c>
      <c r="U51" s="224">
        <v>27</v>
      </c>
      <c r="V51" s="240">
        <f>+S51*T51/U51</f>
        <v>2222.2222222222222</v>
      </c>
    </row>
    <row r="52" spans="2:22" ht="15" customHeight="1" x14ac:dyDescent="0.15">
      <c r="B52" s="985"/>
      <c r="C52" s="382"/>
      <c r="D52" s="382"/>
      <c r="E52" s="382"/>
      <c r="F52" s="382"/>
      <c r="G52" s="384">
        <f t="shared" si="11"/>
        <v>0</v>
      </c>
      <c r="H52" s="146"/>
      <c r="I52" s="1200"/>
      <c r="J52" s="225" t="s">
        <v>54</v>
      </c>
      <c r="K52" s="1203">
        <v>2400</v>
      </c>
      <c r="L52" s="1204"/>
      <c r="M52" s="386">
        <v>27</v>
      </c>
      <c r="N52" s="229">
        <f t="shared" ref="N52:N55" si="12">+K52/M52</f>
        <v>88.888888888888886</v>
      </c>
      <c r="O52" s="154"/>
      <c r="P52" s="1177"/>
      <c r="Q52" s="1174"/>
      <c r="R52" s="245" t="s">
        <v>229</v>
      </c>
      <c r="S52" s="225">
        <v>25000</v>
      </c>
      <c r="T52" s="243">
        <v>1</v>
      </c>
      <c r="U52" s="225">
        <v>30</v>
      </c>
      <c r="V52" s="229">
        <f>+S52*T52/U52</f>
        <v>833.33333333333337</v>
      </c>
    </row>
    <row r="53" spans="2:22" ht="14.25" thickBot="1" x14ac:dyDescent="0.2">
      <c r="B53" s="1198"/>
      <c r="C53" s="138" t="s">
        <v>152</v>
      </c>
      <c r="D53" s="139"/>
      <c r="E53" s="139"/>
      <c r="F53" s="139"/>
      <c r="G53" s="140">
        <f>SUM(G50:G52)</f>
        <v>24330</v>
      </c>
      <c r="H53" s="146"/>
      <c r="I53" s="1200"/>
      <c r="J53" s="225" t="s">
        <v>415</v>
      </c>
      <c r="K53" s="1209">
        <v>4800</v>
      </c>
      <c r="L53" s="1210"/>
      <c r="M53" s="234">
        <v>27</v>
      </c>
      <c r="N53" s="229">
        <f>+K53/M53*2</f>
        <v>355.55555555555554</v>
      </c>
      <c r="O53" s="154"/>
      <c r="P53" s="1177"/>
      <c r="Q53" s="1174"/>
      <c r="R53" s="245"/>
      <c r="S53" s="225"/>
      <c r="T53" s="225"/>
      <c r="U53" s="144"/>
      <c r="V53" s="246"/>
    </row>
    <row r="54" spans="2:22" ht="14.25" customHeight="1" thickTop="1" x14ac:dyDescent="0.15">
      <c r="B54" s="1196" t="s">
        <v>416</v>
      </c>
      <c r="C54" s="382" t="s">
        <v>785</v>
      </c>
      <c r="D54" s="387">
        <f>131*50/1000</f>
        <v>6.55</v>
      </c>
      <c r="E54" s="383" t="s">
        <v>400</v>
      </c>
      <c r="F54" s="382">
        <f>9650/3</f>
        <v>3216.6666666666665</v>
      </c>
      <c r="G54" s="134">
        <f>D54*F54</f>
        <v>21069.166666666664</v>
      </c>
      <c r="I54" s="1200"/>
      <c r="J54" s="582" t="s">
        <v>229</v>
      </c>
      <c r="K54" s="1211">
        <v>5000</v>
      </c>
      <c r="L54" s="1212"/>
      <c r="M54" s="386">
        <v>30</v>
      </c>
      <c r="N54" s="229">
        <f t="shared" si="12"/>
        <v>166.66666666666666</v>
      </c>
      <c r="O54" s="154"/>
      <c r="P54" s="1177"/>
      <c r="Q54" s="1174"/>
      <c r="R54" s="521"/>
      <c r="S54" s="613"/>
      <c r="T54" s="613"/>
      <c r="U54" s="613"/>
      <c r="V54" s="668"/>
    </row>
    <row r="55" spans="2:22" x14ac:dyDescent="0.15">
      <c r="B55" s="985"/>
      <c r="C55" s="382" t="s">
        <v>786</v>
      </c>
      <c r="D55" s="382">
        <v>1000</v>
      </c>
      <c r="E55" s="383" t="s">
        <v>411</v>
      </c>
      <c r="F55" s="382">
        <f>68710/10000</f>
        <v>6.8710000000000004</v>
      </c>
      <c r="G55" s="384">
        <f>D55*F55</f>
        <v>6871</v>
      </c>
      <c r="I55" s="1200"/>
      <c r="J55" s="225" t="s">
        <v>422</v>
      </c>
      <c r="K55" s="1209">
        <v>5900</v>
      </c>
      <c r="L55" s="1210"/>
      <c r="M55" s="386">
        <v>27</v>
      </c>
      <c r="N55" s="388">
        <f t="shared" si="12"/>
        <v>218.5185185185185</v>
      </c>
      <c r="O55" s="154"/>
      <c r="P55" s="1177"/>
      <c r="Q55" s="1175"/>
      <c r="R55" s="245"/>
      <c r="S55" s="225"/>
      <c r="T55" s="225"/>
      <c r="U55" s="144"/>
      <c r="V55" s="246"/>
    </row>
    <row r="56" spans="2:22" x14ac:dyDescent="0.15">
      <c r="B56" s="985"/>
      <c r="C56" s="389"/>
      <c r="D56" s="389"/>
      <c r="E56" s="390"/>
      <c r="F56" s="389"/>
      <c r="G56" s="391">
        <f>D56*F56</f>
        <v>0</v>
      </c>
      <c r="I56" s="1166"/>
      <c r="J56" s="305" t="s">
        <v>152</v>
      </c>
      <c r="K56" s="1213"/>
      <c r="L56" s="1214"/>
      <c r="M56" s="306"/>
      <c r="N56" s="307">
        <f>SUM(N51:N55)</f>
        <v>918.51851851851836</v>
      </c>
      <c r="O56" s="154"/>
      <c r="P56" s="1178"/>
      <c r="Q56" s="249" t="s">
        <v>225</v>
      </c>
      <c r="R56" s="250"/>
      <c r="S56" s="250"/>
      <c r="T56" s="250"/>
      <c r="U56" s="250"/>
      <c r="V56" s="251">
        <f>SUM(V51:V55)</f>
        <v>3055.5555555555557</v>
      </c>
    </row>
    <row r="57" spans="2:22" ht="14.25" thickBot="1" x14ac:dyDescent="0.2">
      <c r="B57" s="1197"/>
      <c r="C57" s="141" t="s">
        <v>154</v>
      </c>
      <c r="D57" s="142"/>
      <c r="E57" s="142"/>
      <c r="F57" s="142"/>
      <c r="G57" s="143">
        <f>SUM(G54:G56)</f>
        <v>27940.166666666664</v>
      </c>
      <c r="I57" s="1205" t="s">
        <v>219</v>
      </c>
      <c r="J57" s="1206"/>
      <c r="K57" s="1207"/>
      <c r="L57" s="1208"/>
      <c r="M57" s="157"/>
      <c r="N57" s="248">
        <f>SUM(N42,N46,N50,N56)</f>
        <v>4646.0648148148148</v>
      </c>
      <c r="O57" s="154"/>
      <c r="P57" s="1171" t="s">
        <v>219</v>
      </c>
      <c r="Q57" s="1172"/>
      <c r="R57" s="669"/>
      <c r="S57" s="669"/>
      <c r="T57" s="669"/>
      <c r="U57" s="669"/>
      <c r="V57" s="670">
        <f>SUM(V44,V50,V56)</f>
        <v>8779.6296296296296</v>
      </c>
    </row>
    <row r="58" spans="2:22" x14ac:dyDescent="0.15">
      <c r="O58" s="154"/>
      <c r="V58" s="43"/>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8:22" x14ac:dyDescent="0.15">
      <c r="H65" s="43"/>
      <c r="I65" s="154"/>
      <c r="J65" s="154"/>
      <c r="K65" s="154"/>
      <c r="L65" s="154"/>
      <c r="M65" s="154"/>
      <c r="N65" s="154"/>
      <c r="O65" s="154"/>
      <c r="P65" s="43"/>
      <c r="R65" s="43"/>
      <c r="V65" s="43"/>
    </row>
    <row r="66" spans="8:22" x14ac:dyDescent="0.15">
      <c r="H66" s="43"/>
      <c r="I66" s="154"/>
      <c r="J66" s="154"/>
      <c r="K66" s="154"/>
      <c r="L66" s="154"/>
      <c r="M66" s="154"/>
      <c r="N66" s="154"/>
      <c r="O66" s="154"/>
      <c r="P66" s="43"/>
      <c r="R66" s="43"/>
      <c r="V66" s="43"/>
    </row>
    <row r="67" spans="8:22" x14ac:dyDescent="0.15">
      <c r="H67" s="43"/>
      <c r="I67" s="154"/>
      <c r="J67" s="154"/>
      <c r="K67" s="154"/>
      <c r="L67" s="154"/>
      <c r="M67" s="154"/>
      <c r="N67" s="154"/>
      <c r="O67" s="154"/>
      <c r="P67" s="43"/>
      <c r="R67" s="43"/>
      <c r="V67" s="43"/>
    </row>
    <row r="68" spans="8:22" x14ac:dyDescent="0.15">
      <c r="H68" s="43"/>
      <c r="I68" s="154"/>
      <c r="J68" s="154"/>
      <c r="K68" s="154"/>
      <c r="L68" s="154"/>
      <c r="M68" s="154"/>
      <c r="N68" s="154"/>
      <c r="O68" s="154"/>
      <c r="P68" s="43"/>
      <c r="R68" s="43"/>
      <c r="V68" s="43"/>
    </row>
    <row r="69" spans="8:22" x14ac:dyDescent="0.15">
      <c r="H69" s="43"/>
      <c r="I69" s="154"/>
      <c r="J69" s="154"/>
      <c r="K69" s="154"/>
      <c r="L69" s="154"/>
      <c r="M69" s="154"/>
      <c r="N69" s="154"/>
      <c r="O69" s="154"/>
      <c r="P69" s="43"/>
      <c r="R69" s="43"/>
      <c r="V69" s="43"/>
    </row>
    <row r="70" spans="8:22" x14ac:dyDescent="0.15">
      <c r="H70" s="43"/>
      <c r="I70" s="154"/>
      <c r="J70" s="154"/>
      <c r="K70" s="154"/>
      <c r="L70" s="154"/>
      <c r="M70" s="154"/>
      <c r="N70" s="154"/>
      <c r="O70" s="154"/>
      <c r="P70" s="43"/>
      <c r="R70" s="43"/>
      <c r="V70" s="43"/>
    </row>
    <row r="71" spans="8:22" x14ac:dyDescent="0.15">
      <c r="H71" s="43"/>
      <c r="I71" s="154"/>
      <c r="J71" s="154"/>
      <c r="K71" s="154"/>
      <c r="L71" s="154"/>
      <c r="M71" s="154"/>
      <c r="N71" s="154"/>
      <c r="O71" s="154"/>
      <c r="P71" s="43"/>
      <c r="R71" s="43"/>
      <c r="V71" s="43"/>
    </row>
    <row r="72" spans="8:22" x14ac:dyDescent="0.15">
      <c r="H72" s="43"/>
      <c r="I72" s="154"/>
      <c r="J72" s="154"/>
      <c r="K72" s="154"/>
      <c r="L72" s="154"/>
      <c r="M72" s="154"/>
      <c r="N72" s="154"/>
      <c r="O72" s="154"/>
      <c r="P72" s="43"/>
      <c r="R72" s="43"/>
      <c r="V72" s="43"/>
    </row>
    <row r="73" spans="8:22" x14ac:dyDescent="0.15">
      <c r="H73" s="43"/>
      <c r="I73" s="154"/>
      <c r="J73" s="154"/>
      <c r="K73" s="154"/>
      <c r="L73" s="154"/>
      <c r="M73" s="154"/>
      <c r="N73" s="154"/>
      <c r="O73" s="154"/>
      <c r="P73" s="43"/>
      <c r="R73" s="43"/>
      <c r="V73" s="43"/>
    </row>
    <row r="74" spans="8:22" x14ac:dyDescent="0.15">
      <c r="H74" s="43"/>
      <c r="I74" s="154"/>
      <c r="J74" s="154"/>
      <c r="K74" s="154"/>
      <c r="L74" s="154"/>
      <c r="M74" s="154"/>
      <c r="N74" s="154"/>
      <c r="O74" s="154"/>
      <c r="P74" s="43"/>
      <c r="R74" s="43"/>
      <c r="V74" s="43"/>
    </row>
    <row r="75" spans="8:22" x14ac:dyDescent="0.15">
      <c r="H75" s="43"/>
      <c r="I75" s="154"/>
      <c r="J75" s="154"/>
      <c r="K75" s="154"/>
      <c r="L75" s="154"/>
      <c r="M75" s="154"/>
      <c r="N75" s="154"/>
      <c r="O75" s="154"/>
      <c r="P75" s="43"/>
      <c r="R75" s="43"/>
      <c r="V75" s="43"/>
    </row>
    <row r="76" spans="8:22" x14ac:dyDescent="0.15">
      <c r="H76" s="43"/>
      <c r="I76" s="154"/>
      <c r="J76" s="154"/>
      <c r="K76" s="154"/>
      <c r="L76" s="154"/>
      <c r="M76" s="154"/>
      <c r="N76" s="154"/>
      <c r="O76" s="154"/>
      <c r="P76" s="43"/>
      <c r="R76" s="43"/>
      <c r="V76" s="43"/>
    </row>
    <row r="77" spans="8:22" x14ac:dyDescent="0.15">
      <c r="H77" s="43"/>
      <c r="I77" s="154"/>
      <c r="J77" s="154"/>
      <c r="K77" s="154"/>
      <c r="L77" s="154"/>
      <c r="M77" s="154"/>
      <c r="N77" s="154"/>
      <c r="O77" s="154"/>
      <c r="P77" s="43"/>
      <c r="R77" s="43"/>
      <c r="V77" s="43"/>
    </row>
    <row r="78" spans="8:22" x14ac:dyDescent="0.15">
      <c r="H78" s="43"/>
      <c r="I78" s="154"/>
      <c r="J78" s="154"/>
      <c r="K78" s="154"/>
      <c r="L78" s="154"/>
      <c r="M78" s="154"/>
      <c r="N78" s="154"/>
      <c r="O78" s="154"/>
      <c r="P78" s="43"/>
      <c r="R78" s="43"/>
      <c r="V78" s="43"/>
    </row>
    <row r="79" spans="8:22" x14ac:dyDescent="0.15">
      <c r="H79" s="43"/>
      <c r="I79" s="154"/>
      <c r="J79" s="154"/>
      <c r="K79" s="154"/>
      <c r="L79" s="154"/>
      <c r="M79" s="154"/>
      <c r="N79" s="154"/>
      <c r="O79" s="154"/>
      <c r="P79" s="43"/>
      <c r="R79" s="43"/>
      <c r="V79" s="43"/>
    </row>
    <row r="80" spans="8:22" x14ac:dyDescent="0.15">
      <c r="H80" s="43"/>
      <c r="I80" s="154"/>
      <c r="J80" s="154"/>
      <c r="K80" s="154"/>
      <c r="L80" s="154"/>
      <c r="M80" s="154"/>
      <c r="N80" s="154"/>
      <c r="O80" s="154"/>
      <c r="P80" s="43"/>
      <c r="R80" s="43"/>
      <c r="V80" s="43"/>
    </row>
    <row r="81" spans="2:22" x14ac:dyDescent="0.15">
      <c r="I81" s="154"/>
      <c r="J81" s="154"/>
      <c r="K81" s="154"/>
      <c r="L81" s="154"/>
      <c r="M81" s="154"/>
      <c r="N81" s="154"/>
      <c r="O81" s="154"/>
      <c r="P81" s="43"/>
      <c r="R81" s="43"/>
      <c r="V81" s="43"/>
    </row>
    <row r="82" spans="2:22" x14ac:dyDescent="0.15">
      <c r="I82" s="154"/>
      <c r="J82" s="154"/>
      <c r="K82" s="154"/>
      <c r="L82" s="154"/>
      <c r="M82" s="154"/>
      <c r="N82" s="154"/>
      <c r="O82" s="154"/>
      <c r="P82" s="43"/>
      <c r="R82" s="43"/>
      <c r="V82" s="43"/>
    </row>
    <row r="83" spans="2:22" x14ac:dyDescent="0.15">
      <c r="B83" s="145"/>
      <c r="C83" s="146"/>
      <c r="D83" s="146"/>
      <c r="E83" s="146"/>
      <c r="F83" s="146"/>
      <c r="I83" s="154"/>
      <c r="J83" s="154"/>
      <c r="K83" s="154"/>
      <c r="L83" s="154"/>
      <c r="M83" s="154"/>
      <c r="N83" s="154"/>
      <c r="O83" s="154"/>
      <c r="P83" s="43"/>
      <c r="R83" s="43"/>
      <c r="V83" s="43"/>
    </row>
    <row r="84" spans="2:22" x14ac:dyDescent="0.15">
      <c r="B84" s="145"/>
      <c r="C84" s="146"/>
      <c r="D84" s="146"/>
      <c r="E84" s="146"/>
      <c r="F84" s="146"/>
      <c r="I84" s="154"/>
      <c r="J84" s="154"/>
      <c r="K84" s="154"/>
      <c r="L84" s="154"/>
      <c r="M84" s="154"/>
      <c r="N84" s="154"/>
      <c r="O84" s="154"/>
      <c r="P84" s="43"/>
      <c r="R84" s="43"/>
      <c r="V84" s="43"/>
    </row>
    <row r="85" spans="2:22" x14ac:dyDescent="0.15">
      <c r="I85" s="154"/>
      <c r="J85" s="154"/>
      <c r="K85" s="154"/>
      <c r="L85" s="154"/>
      <c r="M85" s="154"/>
      <c r="N85" s="154"/>
      <c r="O85" s="154"/>
      <c r="P85" s="43"/>
      <c r="R85" s="43"/>
      <c r="V85" s="43"/>
    </row>
    <row r="86" spans="2:22" x14ac:dyDescent="0.15">
      <c r="I86" s="154"/>
      <c r="J86" s="154"/>
      <c r="K86" s="154"/>
      <c r="L86" s="154"/>
      <c r="M86" s="154"/>
      <c r="N86" s="154"/>
      <c r="O86" s="154"/>
      <c r="P86" s="43"/>
      <c r="R86" s="43"/>
      <c r="V86" s="43"/>
    </row>
    <row r="87" spans="2:22" x14ac:dyDescent="0.15">
      <c r="I87" s="154"/>
      <c r="J87" s="154"/>
      <c r="K87" s="154"/>
      <c r="L87" s="154"/>
      <c r="M87" s="154"/>
      <c r="N87" s="154"/>
      <c r="O87" s="154"/>
      <c r="P87" s="43"/>
      <c r="R87" s="43"/>
      <c r="V87" s="43"/>
    </row>
    <row r="88" spans="2:22" x14ac:dyDescent="0.15">
      <c r="I88" s="154"/>
      <c r="J88" s="154"/>
      <c r="K88" s="154"/>
      <c r="L88" s="154"/>
      <c r="M88" s="154"/>
      <c r="N88" s="154"/>
      <c r="O88" s="154"/>
      <c r="P88" s="43"/>
      <c r="R88" s="43"/>
      <c r="V88" s="43"/>
    </row>
    <row r="89" spans="2:22" x14ac:dyDescent="0.15">
      <c r="I89" s="154"/>
      <c r="J89" s="154"/>
      <c r="K89" s="154"/>
      <c r="L89" s="154"/>
      <c r="M89" s="154"/>
      <c r="N89" s="154"/>
      <c r="O89" s="154"/>
      <c r="P89" s="43"/>
      <c r="R89" s="43"/>
      <c r="V89" s="43"/>
    </row>
    <row r="90" spans="2:22" x14ac:dyDescent="0.15">
      <c r="I90" s="154"/>
      <c r="J90" s="154"/>
      <c r="K90" s="154"/>
      <c r="L90" s="154"/>
      <c r="M90" s="154"/>
      <c r="N90" s="154"/>
      <c r="O90" s="154"/>
      <c r="P90" s="43"/>
      <c r="R90" s="43"/>
      <c r="V90" s="43"/>
    </row>
    <row r="91" spans="2:22" x14ac:dyDescent="0.15">
      <c r="I91" s="154"/>
      <c r="J91" s="154"/>
      <c r="K91" s="154"/>
      <c r="L91" s="154"/>
      <c r="M91" s="154"/>
      <c r="N91" s="154"/>
      <c r="O91" s="154"/>
      <c r="P91" s="43"/>
      <c r="R91" s="43"/>
      <c r="V91" s="43"/>
    </row>
    <row r="92" spans="2:22" x14ac:dyDescent="0.15">
      <c r="I92" s="154"/>
      <c r="J92" s="154"/>
      <c r="K92" s="154"/>
      <c r="L92" s="154"/>
      <c r="M92" s="154"/>
      <c r="N92" s="154"/>
      <c r="O92" s="154"/>
      <c r="P92" s="43"/>
      <c r="R92" s="43"/>
      <c r="V92" s="43"/>
    </row>
    <row r="93" spans="2:22" x14ac:dyDescent="0.15">
      <c r="I93" s="154"/>
      <c r="J93" s="154"/>
      <c r="K93" s="154"/>
      <c r="L93" s="154"/>
      <c r="M93" s="154"/>
      <c r="N93" s="154"/>
      <c r="O93" s="154"/>
      <c r="P93" s="43"/>
      <c r="R93" s="43"/>
      <c r="V93" s="43"/>
    </row>
    <row r="94" spans="2:22" x14ac:dyDescent="0.15">
      <c r="I94" s="154"/>
      <c r="J94" s="154"/>
      <c r="K94" s="154"/>
      <c r="L94" s="154"/>
      <c r="M94" s="154"/>
      <c r="N94" s="154"/>
      <c r="O94" s="154"/>
      <c r="P94" s="43"/>
      <c r="R94" s="43"/>
      <c r="V94" s="43"/>
    </row>
    <row r="95" spans="2:22" x14ac:dyDescent="0.15">
      <c r="I95" s="154"/>
      <c r="J95" s="154"/>
      <c r="K95" s="154"/>
      <c r="L95" s="154"/>
      <c r="M95" s="154"/>
      <c r="N95" s="154"/>
      <c r="O95" s="154"/>
      <c r="P95" s="43"/>
      <c r="R95" s="43"/>
      <c r="V95" s="43"/>
    </row>
    <row r="96" spans="2:22" x14ac:dyDescent="0.15">
      <c r="I96" s="154"/>
      <c r="J96" s="154"/>
      <c r="K96" s="154"/>
      <c r="L96" s="154"/>
      <c r="M96" s="154"/>
      <c r="N96" s="154"/>
      <c r="O96" s="154"/>
      <c r="P96" s="43"/>
      <c r="R96" s="43"/>
      <c r="V96" s="43"/>
    </row>
    <row r="97" spans="8:22" x14ac:dyDescent="0.15">
      <c r="H97" s="43"/>
      <c r="I97" s="154"/>
      <c r="J97" s="154"/>
      <c r="K97" s="154"/>
      <c r="L97" s="154"/>
      <c r="M97" s="154"/>
      <c r="N97" s="154"/>
      <c r="O97" s="154"/>
      <c r="P97" s="43"/>
      <c r="R97" s="43"/>
      <c r="V97" s="43"/>
    </row>
    <row r="98" spans="8:22" x14ac:dyDescent="0.15">
      <c r="H98" s="43"/>
      <c r="I98" s="154"/>
      <c r="J98" s="154"/>
      <c r="K98" s="154"/>
      <c r="L98" s="154"/>
      <c r="M98" s="154"/>
      <c r="N98" s="154"/>
      <c r="O98" s="154"/>
      <c r="P98" s="43"/>
      <c r="R98" s="43"/>
      <c r="V98" s="43"/>
    </row>
    <row r="99" spans="8:22" x14ac:dyDescent="0.15">
      <c r="H99" s="43"/>
      <c r="I99" s="154"/>
      <c r="J99" s="154"/>
      <c r="K99" s="154"/>
      <c r="L99" s="154"/>
      <c r="M99" s="154"/>
      <c r="N99" s="154"/>
      <c r="O99" s="154"/>
      <c r="P99" s="43"/>
      <c r="R99" s="43"/>
      <c r="V99" s="43"/>
    </row>
    <row r="100" spans="8:22" x14ac:dyDescent="0.15">
      <c r="H100" s="43"/>
      <c r="I100" s="154"/>
      <c r="J100" s="154"/>
      <c r="K100" s="154"/>
      <c r="L100" s="154"/>
      <c r="M100" s="154"/>
      <c r="N100" s="154"/>
      <c r="O100" s="154"/>
      <c r="P100" s="43"/>
      <c r="R100" s="43"/>
      <c r="V100" s="43"/>
    </row>
    <row r="101" spans="8:22" x14ac:dyDescent="0.15">
      <c r="H101" s="43"/>
      <c r="I101" s="154"/>
      <c r="J101" s="154"/>
      <c r="K101" s="154"/>
      <c r="L101" s="154"/>
      <c r="M101" s="154"/>
      <c r="N101" s="154"/>
      <c r="O101" s="154"/>
      <c r="P101" s="43"/>
      <c r="R101" s="43"/>
      <c r="V101" s="43"/>
    </row>
    <row r="102" spans="8:22" x14ac:dyDescent="0.15">
      <c r="H102" s="43"/>
      <c r="I102" s="154"/>
      <c r="J102" s="154"/>
      <c r="K102" s="154"/>
      <c r="L102" s="154"/>
      <c r="M102" s="154"/>
      <c r="N102" s="154"/>
      <c r="O102" s="154"/>
      <c r="P102" s="43"/>
      <c r="R102" s="43"/>
      <c r="V102" s="43"/>
    </row>
    <row r="103" spans="8:22" x14ac:dyDescent="0.15">
      <c r="H103" s="43"/>
      <c r="I103" s="154"/>
      <c r="J103" s="154"/>
      <c r="K103" s="154"/>
      <c r="L103" s="154"/>
      <c r="M103" s="154"/>
      <c r="N103" s="154"/>
      <c r="O103" s="154"/>
      <c r="P103" s="43"/>
      <c r="R103" s="43"/>
      <c r="V103" s="43"/>
    </row>
    <row r="104" spans="8:22" x14ac:dyDescent="0.15">
      <c r="H104" s="43"/>
      <c r="I104" s="154"/>
      <c r="J104" s="154"/>
      <c r="K104" s="154"/>
      <c r="L104" s="154"/>
      <c r="M104" s="154"/>
      <c r="N104" s="154"/>
      <c r="O104" s="154"/>
      <c r="P104" s="43"/>
      <c r="R104" s="43"/>
      <c r="V104" s="43"/>
    </row>
    <row r="105" spans="8:22" x14ac:dyDescent="0.15">
      <c r="H105" s="43"/>
      <c r="I105" s="154"/>
      <c r="J105" s="154"/>
      <c r="K105" s="154"/>
      <c r="L105" s="154"/>
      <c r="M105" s="154"/>
      <c r="N105" s="154"/>
      <c r="O105" s="154"/>
      <c r="P105" s="43"/>
      <c r="R105" s="43"/>
      <c r="V105" s="43"/>
    </row>
    <row r="106" spans="8:22" x14ac:dyDescent="0.15">
      <c r="H106" s="43"/>
      <c r="I106" s="154"/>
      <c r="J106" s="154"/>
      <c r="K106" s="154"/>
      <c r="L106" s="154"/>
      <c r="M106" s="154"/>
      <c r="N106" s="154"/>
      <c r="O106" s="154"/>
      <c r="P106" s="43"/>
      <c r="R106" s="43"/>
      <c r="V106" s="43"/>
    </row>
    <row r="107" spans="8:22" x14ac:dyDescent="0.15">
      <c r="H107" s="43"/>
      <c r="I107" s="154"/>
      <c r="J107" s="154"/>
      <c r="K107" s="154"/>
      <c r="L107" s="154"/>
      <c r="M107" s="154"/>
      <c r="N107" s="154"/>
      <c r="O107" s="154"/>
      <c r="P107" s="43"/>
      <c r="R107" s="43"/>
      <c r="V107" s="43"/>
    </row>
    <row r="108" spans="8:22" x14ac:dyDescent="0.15">
      <c r="H108" s="43"/>
      <c r="I108" s="154"/>
      <c r="J108" s="154"/>
      <c r="K108" s="154"/>
      <c r="L108" s="154"/>
      <c r="M108" s="154"/>
      <c r="N108" s="154"/>
      <c r="O108" s="154"/>
      <c r="P108" s="43"/>
      <c r="R108" s="43"/>
      <c r="V108" s="43"/>
    </row>
    <row r="109" spans="8:22" x14ac:dyDescent="0.15">
      <c r="H109" s="43"/>
      <c r="I109" s="154"/>
      <c r="J109" s="154"/>
      <c r="K109" s="154"/>
      <c r="L109" s="154"/>
      <c r="M109" s="154"/>
      <c r="N109" s="154"/>
      <c r="O109" s="154"/>
      <c r="P109" s="43"/>
      <c r="R109" s="43"/>
      <c r="V109" s="43"/>
    </row>
    <row r="110" spans="8:22" x14ac:dyDescent="0.15">
      <c r="H110" s="43"/>
      <c r="I110" s="154"/>
      <c r="J110" s="154"/>
      <c r="K110" s="154"/>
      <c r="L110" s="154"/>
      <c r="M110" s="154"/>
      <c r="N110" s="154"/>
      <c r="O110" s="154"/>
      <c r="P110" s="43"/>
      <c r="R110" s="43"/>
      <c r="V110" s="43"/>
    </row>
    <row r="111" spans="8:22" x14ac:dyDescent="0.15">
      <c r="H111" s="43"/>
      <c r="I111" s="154"/>
      <c r="J111" s="154"/>
      <c r="K111" s="154"/>
      <c r="L111" s="154"/>
      <c r="M111" s="154"/>
      <c r="N111" s="154"/>
      <c r="O111" s="154"/>
      <c r="P111" s="43"/>
      <c r="R111" s="43"/>
      <c r="V111" s="43"/>
    </row>
    <row r="112" spans="8:22" x14ac:dyDescent="0.15">
      <c r="H112" s="43"/>
      <c r="I112" s="154"/>
      <c r="J112" s="154"/>
      <c r="K112" s="154"/>
      <c r="L112" s="154"/>
      <c r="M112" s="154"/>
      <c r="N112" s="154"/>
      <c r="O112" s="154"/>
      <c r="P112" s="43"/>
      <c r="R112" s="43"/>
      <c r="V112" s="43"/>
    </row>
    <row r="113" spans="8:22" x14ac:dyDescent="0.15">
      <c r="H113" s="43"/>
      <c r="I113" s="154"/>
      <c r="J113" s="154"/>
      <c r="K113" s="154"/>
      <c r="L113" s="154"/>
      <c r="M113" s="154"/>
      <c r="N113" s="154"/>
      <c r="O113" s="154"/>
      <c r="P113" s="43"/>
      <c r="R113" s="43"/>
      <c r="V113" s="43"/>
    </row>
    <row r="114" spans="8:22" x14ac:dyDescent="0.15">
      <c r="H114" s="43"/>
      <c r="I114" s="154"/>
      <c r="J114" s="154"/>
      <c r="K114" s="154"/>
      <c r="L114" s="154"/>
      <c r="M114" s="154"/>
      <c r="N114" s="154"/>
      <c r="O114" s="154"/>
      <c r="P114" s="43"/>
      <c r="R114" s="43"/>
      <c r="V114" s="43"/>
    </row>
    <row r="115" spans="8:22" x14ac:dyDescent="0.15">
      <c r="H115" s="43"/>
      <c r="I115" s="154"/>
      <c r="J115" s="154"/>
      <c r="K115" s="154"/>
      <c r="L115" s="154"/>
      <c r="M115" s="154"/>
      <c r="N115" s="154"/>
      <c r="O115" s="154"/>
      <c r="P115" s="43"/>
      <c r="R115" s="43"/>
      <c r="V115" s="43"/>
    </row>
    <row r="116" spans="8:22" x14ac:dyDescent="0.15">
      <c r="H116" s="43"/>
      <c r="I116" s="154"/>
      <c r="J116" s="154"/>
      <c r="K116" s="154"/>
      <c r="L116" s="154"/>
      <c r="M116" s="154"/>
      <c r="N116" s="154"/>
      <c r="O116" s="154"/>
      <c r="P116" s="43"/>
      <c r="R116" s="43"/>
      <c r="V116" s="43"/>
    </row>
    <row r="117" spans="8:22" x14ac:dyDescent="0.15">
      <c r="H117" s="43"/>
      <c r="I117" s="154"/>
      <c r="J117" s="154"/>
      <c r="K117" s="154"/>
      <c r="L117" s="154"/>
      <c r="M117" s="154"/>
      <c r="N117" s="154"/>
      <c r="O117" s="154"/>
      <c r="P117" s="43"/>
      <c r="R117" s="43"/>
      <c r="V117" s="43"/>
    </row>
    <row r="118" spans="8:22" x14ac:dyDescent="0.15">
      <c r="H118" s="43"/>
      <c r="I118" s="154"/>
      <c r="J118" s="154"/>
      <c r="K118" s="154"/>
      <c r="L118" s="154"/>
      <c r="M118" s="154"/>
      <c r="N118" s="154"/>
      <c r="O118" s="154"/>
      <c r="P118" s="43"/>
      <c r="R118" s="43"/>
      <c r="V118" s="43"/>
    </row>
    <row r="119" spans="8:22" x14ac:dyDescent="0.15">
      <c r="H119" s="43"/>
      <c r="I119" s="154"/>
      <c r="J119" s="154"/>
      <c r="K119" s="154"/>
      <c r="L119" s="154"/>
      <c r="M119" s="154"/>
      <c r="N119" s="154"/>
      <c r="O119" s="154"/>
      <c r="P119" s="43"/>
      <c r="R119" s="43"/>
      <c r="V119" s="43"/>
    </row>
    <row r="120" spans="8:22" x14ac:dyDescent="0.15">
      <c r="H120" s="43"/>
      <c r="I120" s="154"/>
      <c r="J120" s="154"/>
      <c r="K120" s="154"/>
      <c r="L120" s="154"/>
      <c r="M120" s="154"/>
      <c r="N120" s="154"/>
      <c r="O120" s="154"/>
      <c r="P120" s="43"/>
      <c r="R120" s="43"/>
      <c r="V120" s="43"/>
    </row>
    <row r="121" spans="8:22" x14ac:dyDescent="0.15">
      <c r="H121" s="43"/>
      <c r="I121" s="154"/>
      <c r="J121" s="154"/>
      <c r="K121" s="154"/>
      <c r="L121" s="154"/>
      <c r="M121" s="154"/>
      <c r="N121" s="154"/>
      <c r="O121" s="154"/>
      <c r="P121" s="43"/>
      <c r="R121" s="43"/>
      <c r="V121" s="43"/>
    </row>
    <row r="122" spans="8:22" x14ac:dyDescent="0.15">
      <c r="H122" s="43"/>
      <c r="I122" s="154"/>
      <c r="J122" s="154"/>
      <c r="K122" s="154"/>
      <c r="L122" s="154"/>
      <c r="M122" s="154"/>
      <c r="N122" s="154"/>
      <c r="O122" s="154"/>
      <c r="P122" s="43"/>
      <c r="R122" s="43"/>
      <c r="V122" s="43"/>
    </row>
    <row r="123" spans="8:22" x14ac:dyDescent="0.15">
      <c r="H123" s="43"/>
      <c r="I123" s="154"/>
      <c r="J123" s="154"/>
      <c r="K123" s="154"/>
      <c r="L123" s="154"/>
      <c r="M123" s="154"/>
      <c r="N123" s="154"/>
      <c r="O123" s="154"/>
      <c r="P123" s="43"/>
      <c r="R123" s="43"/>
      <c r="V123" s="43"/>
    </row>
    <row r="124" spans="8:22" x14ac:dyDescent="0.15">
      <c r="H124" s="43"/>
      <c r="I124" s="154"/>
      <c r="J124" s="154"/>
      <c r="K124" s="154"/>
      <c r="L124" s="154"/>
      <c r="M124" s="154"/>
      <c r="N124" s="154"/>
      <c r="O124" s="154"/>
      <c r="P124" s="43"/>
      <c r="R124" s="43"/>
      <c r="V124" s="43"/>
    </row>
    <row r="125" spans="8:22" x14ac:dyDescent="0.15">
      <c r="H125" s="43"/>
      <c r="I125" s="154"/>
      <c r="J125" s="154"/>
      <c r="K125" s="154"/>
      <c r="L125" s="154"/>
      <c r="M125" s="154"/>
      <c r="N125" s="154"/>
      <c r="O125" s="154"/>
      <c r="P125" s="43"/>
      <c r="R125" s="43"/>
      <c r="V125" s="43"/>
    </row>
    <row r="126" spans="8:22" x14ac:dyDescent="0.15">
      <c r="H126" s="43"/>
      <c r="I126" s="154"/>
      <c r="J126" s="154"/>
      <c r="K126" s="154"/>
      <c r="L126" s="154"/>
      <c r="M126" s="154"/>
      <c r="N126" s="154"/>
      <c r="O126" s="154"/>
      <c r="P126" s="43"/>
      <c r="R126" s="43"/>
      <c r="V126" s="43"/>
    </row>
    <row r="127" spans="8:22" x14ac:dyDescent="0.15">
      <c r="H127" s="43"/>
      <c r="I127" s="154"/>
      <c r="J127" s="154"/>
      <c r="K127" s="154"/>
      <c r="L127" s="154"/>
      <c r="M127" s="154"/>
      <c r="N127" s="154"/>
      <c r="O127" s="154"/>
      <c r="P127" s="43"/>
      <c r="R127" s="43"/>
      <c r="V127" s="43"/>
    </row>
    <row r="128" spans="8:22" x14ac:dyDescent="0.15">
      <c r="H128" s="43"/>
      <c r="I128" s="154"/>
      <c r="J128" s="154"/>
      <c r="K128" s="154"/>
      <c r="L128" s="154"/>
      <c r="M128" s="154"/>
      <c r="N128" s="154"/>
      <c r="O128" s="154"/>
      <c r="P128" s="43"/>
      <c r="R128" s="43"/>
      <c r="V128" s="43"/>
    </row>
    <row r="129" spans="8:22" x14ac:dyDescent="0.15">
      <c r="H129" s="43"/>
      <c r="I129" s="154"/>
      <c r="J129" s="154"/>
      <c r="K129" s="154"/>
      <c r="L129" s="154"/>
      <c r="M129" s="154"/>
      <c r="N129" s="154"/>
      <c r="O129" s="154"/>
      <c r="P129" s="43"/>
      <c r="R129" s="43"/>
      <c r="V129" s="43"/>
    </row>
    <row r="130" spans="8:22" x14ac:dyDescent="0.15">
      <c r="H130" s="43"/>
      <c r="I130" s="154"/>
      <c r="J130" s="154"/>
      <c r="K130" s="154"/>
      <c r="L130" s="154"/>
      <c r="M130" s="154"/>
      <c r="N130" s="154"/>
      <c r="O130" s="154"/>
      <c r="P130" s="43"/>
      <c r="R130" s="43"/>
      <c r="V130" s="43"/>
    </row>
    <row r="131" spans="8:22" x14ac:dyDescent="0.15">
      <c r="H131" s="43"/>
      <c r="I131" s="154"/>
      <c r="J131" s="154"/>
      <c r="K131" s="154"/>
      <c r="L131" s="154"/>
      <c r="M131" s="154"/>
      <c r="N131" s="154"/>
      <c r="O131" s="154"/>
      <c r="P131" s="43"/>
      <c r="R131" s="43"/>
      <c r="V131" s="43"/>
    </row>
    <row r="132" spans="8:22" x14ac:dyDescent="0.15">
      <c r="H132" s="43"/>
      <c r="I132" s="154"/>
      <c r="J132" s="154"/>
      <c r="K132" s="154"/>
      <c r="L132" s="154"/>
      <c r="M132" s="154"/>
      <c r="N132" s="154"/>
      <c r="O132" s="154"/>
      <c r="P132" s="43"/>
      <c r="R132" s="43"/>
      <c r="V132" s="43"/>
    </row>
    <row r="133" spans="8:22" x14ac:dyDescent="0.15">
      <c r="H133" s="43"/>
      <c r="I133" s="154"/>
      <c r="J133" s="154"/>
      <c r="K133" s="154"/>
      <c r="L133" s="154"/>
      <c r="M133" s="154"/>
      <c r="N133" s="154"/>
      <c r="O133" s="154"/>
      <c r="P133" s="43"/>
      <c r="R133" s="43"/>
      <c r="V133" s="43"/>
    </row>
    <row r="134" spans="8:22" x14ac:dyDescent="0.15">
      <c r="H134" s="43"/>
      <c r="I134" s="154"/>
      <c r="J134" s="154"/>
      <c r="K134" s="154"/>
      <c r="L134" s="154"/>
      <c r="M134" s="154"/>
      <c r="N134" s="154"/>
      <c r="O134" s="154"/>
      <c r="P134" s="43"/>
      <c r="R134" s="43"/>
      <c r="V134" s="43"/>
    </row>
    <row r="135" spans="8:22" x14ac:dyDescent="0.15">
      <c r="H135" s="43"/>
      <c r="I135" s="154"/>
      <c r="J135" s="154"/>
      <c r="K135" s="154"/>
      <c r="L135" s="154"/>
      <c r="M135" s="154"/>
      <c r="N135" s="154"/>
      <c r="O135" s="154"/>
      <c r="P135" s="43"/>
      <c r="R135" s="43"/>
      <c r="V135" s="43"/>
    </row>
    <row r="136" spans="8:22" x14ac:dyDescent="0.15">
      <c r="H136" s="43"/>
      <c r="I136" s="154"/>
      <c r="J136" s="154"/>
      <c r="K136" s="154"/>
      <c r="L136" s="154"/>
      <c r="M136" s="154"/>
      <c r="N136" s="154"/>
      <c r="O136" s="154"/>
      <c r="P136" s="43"/>
      <c r="R136" s="43"/>
      <c r="V136" s="43"/>
    </row>
    <row r="137" spans="8:22" x14ac:dyDescent="0.15">
      <c r="H137" s="43"/>
      <c r="I137" s="154"/>
      <c r="J137" s="154"/>
      <c r="K137" s="154"/>
      <c r="L137" s="154"/>
      <c r="M137" s="154"/>
      <c r="N137" s="154"/>
      <c r="O137" s="154"/>
      <c r="P137" s="43"/>
      <c r="R137" s="43"/>
      <c r="V137" s="43"/>
    </row>
    <row r="138" spans="8:22" x14ac:dyDescent="0.15">
      <c r="H138" s="43"/>
      <c r="I138" s="154"/>
      <c r="J138" s="154"/>
      <c r="K138" s="154"/>
      <c r="L138" s="154"/>
      <c r="M138" s="154"/>
      <c r="N138" s="154"/>
      <c r="O138" s="154"/>
      <c r="P138" s="43"/>
      <c r="R138" s="43"/>
      <c r="V138" s="43"/>
    </row>
    <row r="139" spans="8:22" x14ac:dyDescent="0.15">
      <c r="H139" s="43"/>
      <c r="I139" s="154"/>
      <c r="J139" s="154"/>
      <c r="K139" s="154"/>
      <c r="L139" s="154"/>
      <c r="M139" s="154"/>
      <c r="N139" s="154"/>
      <c r="O139" s="154"/>
      <c r="P139" s="43"/>
      <c r="R139" s="43"/>
      <c r="V139" s="43"/>
    </row>
    <row r="140" spans="8:22" x14ac:dyDescent="0.15">
      <c r="H140" s="43"/>
      <c r="I140" s="154"/>
      <c r="J140" s="154"/>
      <c r="K140" s="154"/>
      <c r="L140" s="154"/>
      <c r="M140" s="154"/>
      <c r="N140" s="154"/>
      <c r="P140" s="43"/>
      <c r="R140" s="43"/>
      <c r="V140" s="43"/>
    </row>
    <row r="141" spans="8:22" x14ac:dyDescent="0.15">
      <c r="H141" s="43"/>
      <c r="I141" s="154"/>
      <c r="J141" s="154"/>
      <c r="K141" s="154"/>
      <c r="L141" s="154"/>
      <c r="M141" s="154"/>
      <c r="N141" s="154"/>
      <c r="P141" s="43"/>
      <c r="R141" s="43"/>
      <c r="V141" s="43"/>
    </row>
    <row r="142" spans="8:22" x14ac:dyDescent="0.15">
      <c r="H142" s="43"/>
      <c r="I142" s="154"/>
      <c r="J142" s="154"/>
      <c r="K142" s="154"/>
      <c r="L142" s="154"/>
      <c r="M142" s="154"/>
      <c r="N142" s="154"/>
      <c r="P142" s="43"/>
      <c r="R142" s="43"/>
      <c r="V142" s="43"/>
    </row>
    <row r="143" spans="8:22" x14ac:dyDescent="0.15">
      <c r="H143" s="43"/>
      <c r="I143" s="154"/>
      <c r="J143" s="154"/>
      <c r="K143" s="154"/>
      <c r="L143" s="154"/>
      <c r="M143" s="154"/>
      <c r="N143" s="154"/>
      <c r="P143" s="43"/>
      <c r="R143" s="43"/>
      <c r="V143" s="43"/>
    </row>
    <row r="144" spans="8:22" x14ac:dyDescent="0.15">
      <c r="H144" s="43"/>
      <c r="I144" s="154"/>
      <c r="J144" s="154"/>
      <c r="K144" s="154"/>
      <c r="L144" s="154"/>
      <c r="M144" s="154"/>
      <c r="N144" s="154"/>
      <c r="P144" s="43"/>
      <c r="R144" s="43"/>
      <c r="V144" s="43"/>
    </row>
    <row r="145" spans="8:22" x14ac:dyDescent="0.15">
      <c r="H145" s="43"/>
      <c r="I145" s="154"/>
      <c r="J145" s="154"/>
      <c r="K145" s="154"/>
      <c r="L145" s="154"/>
      <c r="M145" s="154"/>
      <c r="N145" s="154"/>
      <c r="P145" s="43"/>
      <c r="R145" s="43"/>
      <c r="V145" s="43"/>
    </row>
    <row r="146" spans="8:22" x14ac:dyDescent="0.15">
      <c r="H146" s="43"/>
      <c r="I146" s="154"/>
      <c r="J146" s="154"/>
      <c r="K146" s="154"/>
      <c r="L146" s="154"/>
      <c r="M146" s="154"/>
      <c r="N146" s="154"/>
      <c r="P146" s="43"/>
      <c r="R146" s="43"/>
      <c r="V146" s="43"/>
    </row>
    <row r="147" spans="8:22" x14ac:dyDescent="0.15">
      <c r="H147" s="43"/>
      <c r="I147" s="154"/>
      <c r="J147" s="154"/>
      <c r="K147" s="154"/>
      <c r="L147" s="154"/>
      <c r="M147" s="154"/>
      <c r="N147" s="154"/>
      <c r="P147" s="43"/>
      <c r="R147" s="43"/>
      <c r="V147" s="43"/>
    </row>
    <row r="148" spans="8:22" x14ac:dyDescent="0.15">
      <c r="H148" s="43"/>
      <c r="I148" s="154"/>
      <c r="J148" s="154"/>
      <c r="K148" s="154"/>
      <c r="L148" s="154"/>
      <c r="M148" s="154"/>
      <c r="N148" s="154"/>
      <c r="P148" s="43"/>
      <c r="R148" s="43"/>
      <c r="V148" s="43"/>
    </row>
    <row r="149" spans="8:22" x14ac:dyDescent="0.15">
      <c r="H149" s="43"/>
      <c r="I149" s="154"/>
      <c r="J149" s="154"/>
      <c r="K149" s="154"/>
      <c r="L149" s="154"/>
      <c r="M149" s="154"/>
      <c r="N149" s="154"/>
      <c r="P149" s="43"/>
      <c r="R149" s="43"/>
      <c r="V149" s="43"/>
    </row>
    <row r="150" spans="8:22" x14ac:dyDescent="0.15">
      <c r="H150" s="43"/>
      <c r="I150" s="154"/>
      <c r="J150" s="154"/>
      <c r="K150" s="154"/>
      <c r="L150" s="154"/>
      <c r="M150" s="154"/>
      <c r="N150" s="154"/>
      <c r="P150" s="43"/>
      <c r="R150" s="43"/>
      <c r="V150" s="43"/>
    </row>
    <row r="151" spans="8:22" x14ac:dyDescent="0.15">
      <c r="H151" s="43"/>
      <c r="I151" s="154"/>
      <c r="J151" s="154"/>
      <c r="K151" s="154"/>
      <c r="L151" s="154"/>
      <c r="M151" s="154"/>
      <c r="N151" s="154"/>
      <c r="P151" s="43"/>
      <c r="R151" s="43"/>
      <c r="V151" s="43"/>
    </row>
    <row r="152" spans="8:22" x14ac:dyDescent="0.15">
      <c r="H152" s="43"/>
      <c r="I152" s="154"/>
      <c r="J152" s="154"/>
      <c r="K152" s="154"/>
      <c r="L152" s="154"/>
      <c r="M152" s="154"/>
      <c r="N152" s="154"/>
      <c r="P152" s="43"/>
      <c r="R152" s="43"/>
      <c r="V152" s="43"/>
    </row>
    <row r="153" spans="8:22" x14ac:dyDescent="0.15">
      <c r="H153" s="43"/>
      <c r="I153" s="154"/>
      <c r="J153" s="154"/>
      <c r="K153" s="154"/>
      <c r="L153" s="154"/>
      <c r="M153" s="154"/>
      <c r="N153" s="154"/>
      <c r="P153" s="43"/>
      <c r="R153" s="43"/>
      <c r="V153" s="43"/>
    </row>
    <row r="154" spans="8:22" x14ac:dyDescent="0.15">
      <c r="H154" s="43"/>
      <c r="I154" s="154"/>
      <c r="J154" s="154"/>
      <c r="K154" s="154"/>
      <c r="L154" s="154"/>
      <c r="M154" s="154"/>
      <c r="N154" s="154"/>
      <c r="P154" s="43"/>
      <c r="R154" s="43"/>
      <c r="V154" s="43"/>
    </row>
    <row r="155" spans="8:22" x14ac:dyDescent="0.15">
      <c r="H155" s="43"/>
      <c r="J155" s="154"/>
      <c r="K155" s="154"/>
      <c r="L155" s="154"/>
      <c r="M155" s="154"/>
      <c r="N155" s="154"/>
      <c r="P155" s="43"/>
      <c r="R155" s="43"/>
      <c r="V155" s="43"/>
    </row>
    <row r="156" spans="8:22" x14ac:dyDescent="0.15">
      <c r="H156" s="43"/>
      <c r="J156" s="154"/>
      <c r="K156" s="154"/>
      <c r="L156" s="154"/>
      <c r="M156" s="154"/>
      <c r="N156" s="154"/>
      <c r="P156" s="43"/>
      <c r="R156" s="43"/>
      <c r="V156" s="43"/>
    </row>
    <row r="172" spans="8:22" x14ac:dyDescent="0.15">
      <c r="H172" s="43"/>
      <c r="P172" s="43"/>
      <c r="R172" s="43"/>
      <c r="V172" s="43"/>
    </row>
    <row r="173" spans="8:22" x14ac:dyDescent="0.15">
      <c r="H173" s="43"/>
      <c r="O173" s="154"/>
      <c r="P173" s="43"/>
      <c r="R173" s="43"/>
      <c r="V173" s="43"/>
    </row>
    <row r="174" spans="8:22" x14ac:dyDescent="0.15">
      <c r="H174" s="43"/>
      <c r="O174" s="154"/>
      <c r="P174" s="43"/>
      <c r="R174" s="43"/>
      <c r="V174" s="43"/>
    </row>
    <row r="175" spans="8:22" x14ac:dyDescent="0.15">
      <c r="H175" s="43"/>
      <c r="O175" s="154"/>
      <c r="P175" s="43"/>
      <c r="R175" s="43"/>
      <c r="V175" s="43"/>
    </row>
    <row r="176" spans="8:22" x14ac:dyDescent="0.15">
      <c r="H176" s="43"/>
      <c r="O176" s="154"/>
      <c r="P176" s="43"/>
      <c r="R176" s="43"/>
      <c r="V176" s="43"/>
    </row>
    <row r="177" spans="8:22" x14ac:dyDescent="0.15">
      <c r="H177" s="43"/>
      <c r="O177" s="154"/>
      <c r="P177" s="43"/>
      <c r="R177" s="43"/>
      <c r="V177" s="43"/>
    </row>
    <row r="178" spans="8:22" x14ac:dyDescent="0.15">
      <c r="H178" s="43"/>
      <c r="O178" s="154"/>
      <c r="P178" s="43"/>
      <c r="R178" s="43"/>
      <c r="V178" s="43"/>
    </row>
    <row r="179" spans="8:22" x14ac:dyDescent="0.15">
      <c r="H179" s="43"/>
      <c r="O179" s="154"/>
      <c r="P179" s="43"/>
      <c r="R179" s="43"/>
      <c r="V179" s="43"/>
    </row>
    <row r="180" spans="8:22" x14ac:dyDescent="0.15">
      <c r="H180" s="43"/>
      <c r="O180" s="154"/>
      <c r="P180" s="43"/>
      <c r="R180" s="43"/>
      <c r="V180" s="43"/>
    </row>
    <row r="181" spans="8:22" x14ac:dyDescent="0.15">
      <c r="H181" s="43"/>
      <c r="O181" s="154"/>
      <c r="P181" s="43"/>
      <c r="R181" s="43"/>
      <c r="V181" s="43"/>
    </row>
    <row r="182" spans="8:22" x14ac:dyDescent="0.15">
      <c r="H182" s="43"/>
      <c r="O182" s="154"/>
      <c r="P182" s="43"/>
      <c r="R182" s="43"/>
      <c r="V182" s="43"/>
    </row>
    <row r="183" spans="8:22" x14ac:dyDescent="0.15">
      <c r="H183" s="43"/>
      <c r="O183" s="154"/>
      <c r="P183" s="43"/>
      <c r="R183" s="43"/>
      <c r="V183" s="43"/>
    </row>
    <row r="184" spans="8:22" x14ac:dyDescent="0.15">
      <c r="H184" s="43"/>
      <c r="O184" s="154"/>
      <c r="P184" s="43"/>
      <c r="R184" s="43"/>
      <c r="V184" s="43"/>
    </row>
    <row r="185" spans="8:22" x14ac:dyDescent="0.15">
      <c r="H185" s="43"/>
      <c r="O185" s="154"/>
      <c r="P185" s="43"/>
      <c r="R185" s="43"/>
      <c r="V185" s="43"/>
    </row>
    <row r="186" spans="8:22" x14ac:dyDescent="0.15">
      <c r="H186" s="43"/>
      <c r="O186" s="154"/>
      <c r="P186" s="43"/>
      <c r="R186" s="43"/>
      <c r="V186" s="43"/>
    </row>
    <row r="187" spans="8:22" x14ac:dyDescent="0.15">
      <c r="H187" s="43"/>
      <c r="O187" s="154"/>
      <c r="P187" s="43"/>
      <c r="R187" s="43"/>
      <c r="V187" s="43"/>
    </row>
    <row r="188" spans="8:22" x14ac:dyDescent="0.15">
      <c r="H188" s="43"/>
      <c r="O188" s="154"/>
      <c r="P188" s="43"/>
      <c r="R188" s="43"/>
      <c r="V188" s="43"/>
    </row>
    <row r="189" spans="8:22" x14ac:dyDescent="0.15">
      <c r="H189" s="43"/>
      <c r="O189" s="154"/>
      <c r="P189" s="43"/>
      <c r="R189" s="43"/>
      <c r="V189" s="43"/>
    </row>
    <row r="190" spans="8:22" x14ac:dyDescent="0.15">
      <c r="H190" s="43"/>
      <c r="O190" s="154"/>
      <c r="P190" s="43"/>
      <c r="R190" s="43"/>
      <c r="V190" s="43"/>
    </row>
    <row r="191" spans="8:22" x14ac:dyDescent="0.15">
      <c r="H191" s="43"/>
      <c r="O191" s="154"/>
      <c r="P191" s="43"/>
      <c r="R191" s="43"/>
      <c r="V191" s="43"/>
    </row>
    <row r="192" spans="8:22" x14ac:dyDescent="0.15">
      <c r="H192" s="43"/>
      <c r="O192" s="154"/>
      <c r="P192" s="43"/>
      <c r="R192" s="43"/>
      <c r="V192" s="43"/>
    </row>
  </sheetData>
  <mergeCells count="70">
    <mergeCell ref="I6:I12"/>
    <mergeCell ref="I13:I16"/>
    <mergeCell ref="I17:I20"/>
    <mergeCell ref="I21:I24"/>
    <mergeCell ref="T21:U21"/>
    <mergeCell ref="T14:U14"/>
    <mergeCell ref="T15:U15"/>
    <mergeCell ref="T18:U18"/>
    <mergeCell ref="T19:U19"/>
    <mergeCell ref="T20:U20"/>
    <mergeCell ref="T13:U13"/>
    <mergeCell ref="T6:U6"/>
    <mergeCell ref="T7:U7"/>
    <mergeCell ref="T8:U8"/>
    <mergeCell ref="T9:U9"/>
    <mergeCell ref="T11:U11"/>
    <mergeCell ref="K37:L37"/>
    <mergeCell ref="K38:L38"/>
    <mergeCell ref="K42:L42"/>
    <mergeCell ref="K45:L45"/>
    <mergeCell ref="K46:L46"/>
    <mergeCell ref="K43:L43"/>
    <mergeCell ref="K44:L44"/>
    <mergeCell ref="I51:I56"/>
    <mergeCell ref="K51:L51"/>
    <mergeCell ref="K52:L52"/>
    <mergeCell ref="I57:J57"/>
    <mergeCell ref="K41:L41"/>
    <mergeCell ref="K57:L57"/>
    <mergeCell ref="K53:L53"/>
    <mergeCell ref="K54:L54"/>
    <mergeCell ref="K55:L55"/>
    <mergeCell ref="K56:L56"/>
    <mergeCell ref="K50:L50"/>
    <mergeCell ref="K47:L47"/>
    <mergeCell ref="K48:L48"/>
    <mergeCell ref="K49:L49"/>
    <mergeCell ref="I43:I46"/>
    <mergeCell ref="I47:I50"/>
    <mergeCell ref="B54:B57"/>
    <mergeCell ref="B50:B53"/>
    <mergeCell ref="B5:B7"/>
    <mergeCell ref="B8:B11"/>
    <mergeCell ref="B12:B16"/>
    <mergeCell ref="B21:B24"/>
    <mergeCell ref="B17:B20"/>
    <mergeCell ref="B39:B49"/>
    <mergeCell ref="B28:B38"/>
    <mergeCell ref="M4:M5"/>
    <mergeCell ref="N4:N5"/>
    <mergeCell ref="J4:J5"/>
    <mergeCell ref="I4:I5"/>
    <mergeCell ref="T4:U4"/>
    <mergeCell ref="T5:U5"/>
    <mergeCell ref="I25:I28"/>
    <mergeCell ref="I29:I32"/>
    <mergeCell ref="I36:I42"/>
    <mergeCell ref="T12:U12"/>
    <mergeCell ref="P57:Q57"/>
    <mergeCell ref="Q45:Q49"/>
    <mergeCell ref="Q51:Q55"/>
    <mergeCell ref="P45:P56"/>
    <mergeCell ref="P38:P44"/>
    <mergeCell ref="T16:U16"/>
    <mergeCell ref="T17:U17"/>
    <mergeCell ref="Q37:R37"/>
    <mergeCell ref="K35:L35"/>
    <mergeCell ref="K36:L36"/>
    <mergeCell ref="K39:L39"/>
    <mergeCell ref="K40:L40"/>
  </mergeCells>
  <phoneticPr fontId="4"/>
  <pageMargins left="0.78740157480314965" right="0.78740157480314965" top="0.78740157480314965" bottom="0.78740157480314965" header="0.39370078740157483" footer="0.39370078740157483"/>
  <pageSetup paperSize="9" scale="61" orientation="landscape"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192"/>
  <sheetViews>
    <sheetView zoomScale="75" zoomScaleNormal="75" workbookViewId="0"/>
  </sheetViews>
  <sheetFormatPr defaultRowHeight="13.5" x14ac:dyDescent="0.15"/>
  <cols>
    <col min="1" max="1" width="1.625" style="43" customWidth="1"/>
    <col min="2" max="2" width="3.625" style="43" customWidth="1"/>
    <col min="3" max="3" width="19.5" style="43" customWidth="1"/>
    <col min="4" max="7" width="8.625" style="43" customWidth="1"/>
    <col min="8" max="8" width="2.375" style="154" customWidth="1"/>
    <col min="9" max="9" width="3.625" style="43" customWidth="1"/>
    <col min="10" max="10" width="15.625" style="43" customWidth="1"/>
    <col min="11" max="14" width="8.625" style="43" customWidth="1"/>
    <col min="15" max="15" width="3.5" style="43" customWidth="1"/>
    <col min="16" max="16" width="15.625" style="127" customWidth="1"/>
    <col min="17" max="17" width="8.625" style="43" customWidth="1"/>
    <col min="18" max="18" width="8.625" style="44" customWidth="1"/>
    <col min="19" max="21" width="8.625" style="43" customWidth="1"/>
    <col min="22" max="22" width="10.625" style="44" customWidth="1"/>
    <col min="23" max="262" width="9" style="43"/>
    <col min="263" max="263" width="1.375" style="43" customWidth="1"/>
    <col min="264" max="264" width="3.5" style="43" customWidth="1"/>
    <col min="265" max="265" width="22.125" style="43" customWidth="1"/>
    <col min="266" max="266" width="9.75" style="43" customWidth="1"/>
    <col min="267" max="267" width="7.375" style="43" customWidth="1"/>
    <col min="268" max="268" width="9" style="43"/>
    <col min="269" max="269" width="9.25" style="43" customWidth="1"/>
    <col min="270" max="270" width="3.5" style="43" customWidth="1"/>
    <col min="271" max="272" width="12.625" style="43" customWidth="1"/>
    <col min="273" max="273" width="9" style="43"/>
    <col min="274" max="274" width="7.75" style="43" customWidth="1"/>
    <col min="275" max="275" width="13.125" style="43" customWidth="1"/>
    <col min="276" max="276" width="6.125" style="43" customWidth="1"/>
    <col min="277" max="277" width="9.75" style="43" customWidth="1"/>
    <col min="278" max="278" width="1.375" style="43" customWidth="1"/>
    <col min="279" max="518" width="9" style="43"/>
    <col min="519" max="519" width="1.375" style="43" customWidth="1"/>
    <col min="520" max="520" width="3.5" style="43" customWidth="1"/>
    <col min="521" max="521" width="22.125" style="43" customWidth="1"/>
    <col min="522" max="522" width="9.75" style="43" customWidth="1"/>
    <col min="523" max="523" width="7.375" style="43" customWidth="1"/>
    <col min="524" max="524" width="9" style="43"/>
    <col min="525" max="525" width="9.25" style="43" customWidth="1"/>
    <col min="526" max="526" width="3.5" style="43" customWidth="1"/>
    <col min="527" max="528" width="12.625" style="43" customWidth="1"/>
    <col min="529" max="529" width="9" style="43"/>
    <col min="530" max="530" width="7.75" style="43" customWidth="1"/>
    <col min="531" max="531" width="13.125" style="43" customWidth="1"/>
    <col min="532" max="532" width="6.125" style="43" customWidth="1"/>
    <col min="533" max="533" width="9.75" style="43" customWidth="1"/>
    <col min="534" max="534" width="1.375" style="43" customWidth="1"/>
    <col min="535" max="774" width="9" style="43"/>
    <col min="775" max="775" width="1.375" style="43" customWidth="1"/>
    <col min="776" max="776" width="3.5" style="43" customWidth="1"/>
    <col min="777" max="777" width="22.125" style="43" customWidth="1"/>
    <col min="778" max="778" width="9.75" style="43" customWidth="1"/>
    <col min="779" max="779" width="7.375" style="43" customWidth="1"/>
    <col min="780" max="780" width="9" style="43"/>
    <col min="781" max="781" width="9.25" style="43" customWidth="1"/>
    <col min="782" max="782" width="3.5" style="43" customWidth="1"/>
    <col min="783" max="784" width="12.625" style="43" customWidth="1"/>
    <col min="785" max="785" width="9" style="43"/>
    <col min="786" max="786" width="7.75" style="43" customWidth="1"/>
    <col min="787" max="787" width="13.125" style="43" customWidth="1"/>
    <col min="788" max="788" width="6.125" style="43" customWidth="1"/>
    <col min="789" max="789" width="9.75" style="43" customWidth="1"/>
    <col min="790" max="790" width="1.375" style="43" customWidth="1"/>
    <col min="791" max="1030" width="9" style="43"/>
    <col min="1031" max="1031" width="1.375" style="43" customWidth="1"/>
    <col min="1032" max="1032" width="3.5" style="43" customWidth="1"/>
    <col min="1033" max="1033" width="22.125" style="43" customWidth="1"/>
    <col min="1034" max="1034" width="9.75" style="43" customWidth="1"/>
    <col min="1035" max="1035" width="7.375" style="43" customWidth="1"/>
    <col min="1036" max="1036" width="9" style="43"/>
    <col min="1037" max="1037" width="9.25" style="43" customWidth="1"/>
    <col min="1038" max="1038" width="3.5" style="43" customWidth="1"/>
    <col min="1039" max="1040" width="12.625" style="43" customWidth="1"/>
    <col min="1041" max="1041" width="9" style="43"/>
    <col min="1042" max="1042" width="7.75" style="43" customWidth="1"/>
    <col min="1043" max="1043" width="13.125" style="43" customWidth="1"/>
    <col min="1044" max="1044" width="6.125" style="43" customWidth="1"/>
    <col min="1045" max="1045" width="9.75" style="43" customWidth="1"/>
    <col min="1046" max="1046" width="1.375" style="43" customWidth="1"/>
    <col min="1047" max="1286" width="9" style="43"/>
    <col min="1287" max="1287" width="1.375" style="43" customWidth="1"/>
    <col min="1288" max="1288" width="3.5" style="43" customWidth="1"/>
    <col min="1289" max="1289" width="22.125" style="43" customWidth="1"/>
    <col min="1290" max="1290" width="9.75" style="43" customWidth="1"/>
    <col min="1291" max="1291" width="7.375" style="43" customWidth="1"/>
    <col min="1292" max="1292" width="9" style="43"/>
    <col min="1293" max="1293" width="9.25" style="43" customWidth="1"/>
    <col min="1294" max="1294" width="3.5" style="43" customWidth="1"/>
    <col min="1295" max="1296" width="12.625" style="43" customWidth="1"/>
    <col min="1297" max="1297" width="9" style="43"/>
    <col min="1298" max="1298" width="7.75" style="43" customWidth="1"/>
    <col min="1299" max="1299" width="13.125" style="43" customWidth="1"/>
    <col min="1300" max="1300" width="6.125" style="43" customWidth="1"/>
    <col min="1301" max="1301" width="9.75" style="43" customWidth="1"/>
    <col min="1302" max="1302" width="1.375" style="43" customWidth="1"/>
    <col min="1303" max="1542" width="9" style="43"/>
    <col min="1543" max="1543" width="1.375" style="43" customWidth="1"/>
    <col min="1544" max="1544" width="3.5" style="43" customWidth="1"/>
    <col min="1545" max="1545" width="22.125" style="43" customWidth="1"/>
    <col min="1546" max="1546" width="9.75" style="43" customWidth="1"/>
    <col min="1547" max="1547" width="7.375" style="43" customWidth="1"/>
    <col min="1548" max="1548" width="9" style="43"/>
    <col min="1549" max="1549" width="9.25" style="43" customWidth="1"/>
    <col min="1550" max="1550" width="3.5" style="43" customWidth="1"/>
    <col min="1551" max="1552" width="12.625" style="43" customWidth="1"/>
    <col min="1553" max="1553" width="9" style="43"/>
    <col min="1554" max="1554" width="7.75" style="43" customWidth="1"/>
    <col min="1555" max="1555" width="13.125" style="43" customWidth="1"/>
    <col min="1556" max="1556" width="6.125" style="43" customWidth="1"/>
    <col min="1557" max="1557" width="9.75" style="43" customWidth="1"/>
    <col min="1558" max="1558" width="1.375" style="43" customWidth="1"/>
    <col min="1559" max="1798" width="9" style="43"/>
    <col min="1799" max="1799" width="1.375" style="43" customWidth="1"/>
    <col min="1800" max="1800" width="3.5" style="43" customWidth="1"/>
    <col min="1801" max="1801" width="22.125" style="43" customWidth="1"/>
    <col min="1802" max="1802" width="9.75" style="43" customWidth="1"/>
    <col min="1803" max="1803" width="7.375" style="43" customWidth="1"/>
    <col min="1804" max="1804" width="9" style="43"/>
    <col min="1805" max="1805" width="9.25" style="43" customWidth="1"/>
    <col min="1806" max="1806" width="3.5" style="43" customWidth="1"/>
    <col min="1807" max="1808" width="12.625" style="43" customWidth="1"/>
    <col min="1809" max="1809" width="9" style="43"/>
    <col min="1810" max="1810" width="7.75" style="43" customWidth="1"/>
    <col min="1811" max="1811" width="13.125" style="43" customWidth="1"/>
    <col min="1812" max="1812" width="6.125" style="43" customWidth="1"/>
    <col min="1813" max="1813" width="9.75" style="43" customWidth="1"/>
    <col min="1814" max="1814" width="1.375" style="43" customWidth="1"/>
    <col min="1815" max="2054" width="9" style="43"/>
    <col min="2055" max="2055" width="1.375" style="43" customWidth="1"/>
    <col min="2056" max="2056" width="3.5" style="43" customWidth="1"/>
    <col min="2057" max="2057" width="22.125" style="43" customWidth="1"/>
    <col min="2058" max="2058" width="9.75" style="43" customWidth="1"/>
    <col min="2059" max="2059" width="7.375" style="43" customWidth="1"/>
    <col min="2060" max="2060" width="9" style="43"/>
    <col min="2061" max="2061" width="9.25" style="43" customWidth="1"/>
    <col min="2062" max="2062" width="3.5" style="43" customWidth="1"/>
    <col min="2063" max="2064" width="12.625" style="43" customWidth="1"/>
    <col min="2065" max="2065" width="9" style="43"/>
    <col min="2066" max="2066" width="7.75" style="43" customWidth="1"/>
    <col min="2067" max="2067" width="13.125" style="43" customWidth="1"/>
    <col min="2068" max="2068" width="6.125" style="43" customWidth="1"/>
    <col min="2069" max="2069" width="9.75" style="43" customWidth="1"/>
    <col min="2070" max="2070" width="1.375" style="43" customWidth="1"/>
    <col min="2071" max="2310" width="9" style="43"/>
    <col min="2311" max="2311" width="1.375" style="43" customWidth="1"/>
    <col min="2312" max="2312" width="3.5" style="43" customWidth="1"/>
    <col min="2313" max="2313" width="22.125" style="43" customWidth="1"/>
    <col min="2314" max="2314" width="9.75" style="43" customWidth="1"/>
    <col min="2315" max="2315" width="7.375" style="43" customWidth="1"/>
    <col min="2316" max="2316" width="9" style="43"/>
    <col min="2317" max="2317" width="9.25" style="43" customWidth="1"/>
    <col min="2318" max="2318" width="3.5" style="43" customWidth="1"/>
    <col min="2319" max="2320" width="12.625" style="43" customWidth="1"/>
    <col min="2321" max="2321" width="9" style="43"/>
    <col min="2322" max="2322" width="7.75" style="43" customWidth="1"/>
    <col min="2323" max="2323" width="13.125" style="43" customWidth="1"/>
    <col min="2324" max="2324" width="6.125" style="43" customWidth="1"/>
    <col min="2325" max="2325" width="9.75" style="43" customWidth="1"/>
    <col min="2326" max="2326" width="1.375" style="43" customWidth="1"/>
    <col min="2327" max="2566" width="9" style="43"/>
    <col min="2567" max="2567" width="1.375" style="43" customWidth="1"/>
    <col min="2568" max="2568" width="3.5" style="43" customWidth="1"/>
    <col min="2569" max="2569" width="22.125" style="43" customWidth="1"/>
    <col min="2570" max="2570" width="9.75" style="43" customWidth="1"/>
    <col min="2571" max="2571" width="7.375" style="43" customWidth="1"/>
    <col min="2572" max="2572" width="9" style="43"/>
    <col min="2573" max="2573" width="9.25" style="43" customWidth="1"/>
    <col min="2574" max="2574" width="3.5" style="43" customWidth="1"/>
    <col min="2575" max="2576" width="12.625" style="43" customWidth="1"/>
    <col min="2577" max="2577" width="9" style="43"/>
    <col min="2578" max="2578" width="7.75" style="43" customWidth="1"/>
    <col min="2579" max="2579" width="13.125" style="43" customWidth="1"/>
    <col min="2580" max="2580" width="6.125" style="43" customWidth="1"/>
    <col min="2581" max="2581" width="9.75" style="43" customWidth="1"/>
    <col min="2582" max="2582" width="1.375" style="43" customWidth="1"/>
    <col min="2583" max="2822" width="9" style="43"/>
    <col min="2823" max="2823" width="1.375" style="43" customWidth="1"/>
    <col min="2824" max="2824" width="3.5" style="43" customWidth="1"/>
    <col min="2825" max="2825" width="22.125" style="43" customWidth="1"/>
    <col min="2826" max="2826" width="9.75" style="43" customWidth="1"/>
    <col min="2827" max="2827" width="7.375" style="43" customWidth="1"/>
    <col min="2828" max="2828" width="9" style="43"/>
    <col min="2829" max="2829" width="9.25" style="43" customWidth="1"/>
    <col min="2830" max="2830" width="3.5" style="43" customWidth="1"/>
    <col min="2831" max="2832" width="12.625" style="43" customWidth="1"/>
    <col min="2833" max="2833" width="9" style="43"/>
    <col min="2834" max="2834" width="7.75" style="43" customWidth="1"/>
    <col min="2835" max="2835" width="13.125" style="43" customWidth="1"/>
    <col min="2836" max="2836" width="6.125" style="43" customWidth="1"/>
    <col min="2837" max="2837" width="9.75" style="43" customWidth="1"/>
    <col min="2838" max="2838" width="1.375" style="43" customWidth="1"/>
    <col min="2839" max="3078" width="9" style="43"/>
    <col min="3079" max="3079" width="1.375" style="43" customWidth="1"/>
    <col min="3080" max="3080" width="3.5" style="43" customWidth="1"/>
    <col min="3081" max="3081" width="22.125" style="43" customWidth="1"/>
    <col min="3082" max="3082" width="9.75" style="43" customWidth="1"/>
    <col min="3083" max="3083" width="7.375" style="43" customWidth="1"/>
    <col min="3084" max="3084" width="9" style="43"/>
    <col min="3085" max="3085" width="9.25" style="43" customWidth="1"/>
    <col min="3086" max="3086" width="3.5" style="43" customWidth="1"/>
    <col min="3087" max="3088" width="12.625" style="43" customWidth="1"/>
    <col min="3089" max="3089" width="9" style="43"/>
    <col min="3090" max="3090" width="7.75" style="43" customWidth="1"/>
    <col min="3091" max="3091" width="13.125" style="43" customWidth="1"/>
    <col min="3092" max="3092" width="6.125" style="43" customWidth="1"/>
    <col min="3093" max="3093" width="9.75" style="43" customWidth="1"/>
    <col min="3094" max="3094" width="1.375" style="43" customWidth="1"/>
    <col min="3095" max="3334" width="9" style="43"/>
    <col min="3335" max="3335" width="1.375" style="43" customWidth="1"/>
    <col min="3336" max="3336" width="3.5" style="43" customWidth="1"/>
    <col min="3337" max="3337" width="22.125" style="43" customWidth="1"/>
    <col min="3338" max="3338" width="9.75" style="43" customWidth="1"/>
    <col min="3339" max="3339" width="7.375" style="43" customWidth="1"/>
    <col min="3340" max="3340" width="9" style="43"/>
    <col min="3341" max="3341" width="9.25" style="43" customWidth="1"/>
    <col min="3342" max="3342" width="3.5" style="43" customWidth="1"/>
    <col min="3343" max="3344" width="12.625" style="43" customWidth="1"/>
    <col min="3345" max="3345" width="9" style="43"/>
    <col min="3346" max="3346" width="7.75" style="43" customWidth="1"/>
    <col min="3347" max="3347" width="13.125" style="43" customWidth="1"/>
    <col min="3348" max="3348" width="6.125" style="43" customWidth="1"/>
    <col min="3349" max="3349" width="9.75" style="43" customWidth="1"/>
    <col min="3350" max="3350" width="1.375" style="43" customWidth="1"/>
    <col min="3351" max="3590" width="9" style="43"/>
    <col min="3591" max="3591" width="1.375" style="43" customWidth="1"/>
    <col min="3592" max="3592" width="3.5" style="43" customWidth="1"/>
    <col min="3593" max="3593" width="22.125" style="43" customWidth="1"/>
    <col min="3594" max="3594" width="9.75" style="43" customWidth="1"/>
    <col min="3595" max="3595" width="7.375" style="43" customWidth="1"/>
    <col min="3596" max="3596" width="9" style="43"/>
    <col min="3597" max="3597" width="9.25" style="43" customWidth="1"/>
    <col min="3598" max="3598" width="3.5" style="43" customWidth="1"/>
    <col min="3599" max="3600" width="12.625" style="43" customWidth="1"/>
    <col min="3601" max="3601" width="9" style="43"/>
    <col min="3602" max="3602" width="7.75" style="43" customWidth="1"/>
    <col min="3603" max="3603" width="13.125" style="43" customWidth="1"/>
    <col min="3604" max="3604" width="6.125" style="43" customWidth="1"/>
    <col min="3605" max="3605" width="9.75" style="43" customWidth="1"/>
    <col min="3606" max="3606" width="1.375" style="43" customWidth="1"/>
    <col min="3607" max="3846" width="9" style="43"/>
    <col min="3847" max="3847" width="1.375" style="43" customWidth="1"/>
    <col min="3848" max="3848" width="3.5" style="43" customWidth="1"/>
    <col min="3849" max="3849" width="22.125" style="43" customWidth="1"/>
    <col min="3850" max="3850" width="9.75" style="43" customWidth="1"/>
    <col min="3851" max="3851" width="7.375" style="43" customWidth="1"/>
    <col min="3852" max="3852" width="9" style="43"/>
    <col min="3853" max="3853" width="9.25" style="43" customWidth="1"/>
    <col min="3854" max="3854" width="3.5" style="43" customWidth="1"/>
    <col min="3855" max="3856" width="12.625" style="43" customWidth="1"/>
    <col min="3857" max="3857" width="9" style="43"/>
    <col min="3858" max="3858" width="7.75" style="43" customWidth="1"/>
    <col min="3859" max="3859" width="13.125" style="43" customWidth="1"/>
    <col min="3860" max="3860" width="6.125" style="43" customWidth="1"/>
    <col min="3861" max="3861" width="9.75" style="43" customWidth="1"/>
    <col min="3862" max="3862" width="1.375" style="43" customWidth="1"/>
    <col min="3863" max="4102" width="9" style="43"/>
    <col min="4103" max="4103" width="1.375" style="43" customWidth="1"/>
    <col min="4104" max="4104" width="3.5" style="43" customWidth="1"/>
    <col min="4105" max="4105" width="22.125" style="43" customWidth="1"/>
    <col min="4106" max="4106" width="9.75" style="43" customWidth="1"/>
    <col min="4107" max="4107" width="7.375" style="43" customWidth="1"/>
    <col min="4108" max="4108" width="9" style="43"/>
    <col min="4109" max="4109" width="9.25" style="43" customWidth="1"/>
    <col min="4110" max="4110" width="3.5" style="43" customWidth="1"/>
    <col min="4111" max="4112" width="12.625" style="43" customWidth="1"/>
    <col min="4113" max="4113" width="9" style="43"/>
    <col min="4114" max="4114" width="7.75" style="43" customWidth="1"/>
    <col min="4115" max="4115" width="13.125" style="43" customWidth="1"/>
    <col min="4116" max="4116" width="6.125" style="43" customWidth="1"/>
    <col min="4117" max="4117" width="9.75" style="43" customWidth="1"/>
    <col min="4118" max="4118" width="1.375" style="43" customWidth="1"/>
    <col min="4119" max="4358" width="9" style="43"/>
    <col min="4359" max="4359" width="1.375" style="43" customWidth="1"/>
    <col min="4360" max="4360" width="3.5" style="43" customWidth="1"/>
    <col min="4361" max="4361" width="22.125" style="43" customWidth="1"/>
    <col min="4362" max="4362" width="9.75" style="43" customWidth="1"/>
    <col min="4363" max="4363" width="7.375" style="43" customWidth="1"/>
    <col min="4364" max="4364" width="9" style="43"/>
    <col min="4365" max="4365" width="9.25" style="43" customWidth="1"/>
    <col min="4366" max="4366" width="3.5" style="43" customWidth="1"/>
    <col min="4367" max="4368" width="12.625" style="43" customWidth="1"/>
    <col min="4369" max="4369" width="9" style="43"/>
    <col min="4370" max="4370" width="7.75" style="43" customWidth="1"/>
    <col min="4371" max="4371" width="13.125" style="43" customWidth="1"/>
    <col min="4372" max="4372" width="6.125" style="43" customWidth="1"/>
    <col min="4373" max="4373" width="9.75" style="43" customWidth="1"/>
    <col min="4374" max="4374" width="1.375" style="43" customWidth="1"/>
    <col min="4375" max="4614" width="9" style="43"/>
    <col min="4615" max="4615" width="1.375" style="43" customWidth="1"/>
    <col min="4616" max="4616" width="3.5" style="43" customWidth="1"/>
    <col min="4617" max="4617" width="22.125" style="43" customWidth="1"/>
    <col min="4618" max="4618" width="9.75" style="43" customWidth="1"/>
    <col min="4619" max="4619" width="7.375" style="43" customWidth="1"/>
    <col min="4620" max="4620" width="9" style="43"/>
    <col min="4621" max="4621" width="9.25" style="43" customWidth="1"/>
    <col min="4622" max="4622" width="3.5" style="43" customWidth="1"/>
    <col min="4623" max="4624" width="12.625" style="43" customWidth="1"/>
    <col min="4625" max="4625" width="9" style="43"/>
    <col min="4626" max="4626" width="7.75" style="43" customWidth="1"/>
    <col min="4627" max="4627" width="13.125" style="43" customWidth="1"/>
    <col min="4628" max="4628" width="6.125" style="43" customWidth="1"/>
    <col min="4629" max="4629" width="9.75" style="43" customWidth="1"/>
    <col min="4630" max="4630" width="1.375" style="43" customWidth="1"/>
    <col min="4631" max="4870" width="9" style="43"/>
    <col min="4871" max="4871" width="1.375" style="43" customWidth="1"/>
    <col min="4872" max="4872" width="3.5" style="43" customWidth="1"/>
    <col min="4873" max="4873" width="22.125" style="43" customWidth="1"/>
    <col min="4874" max="4874" width="9.75" style="43" customWidth="1"/>
    <col min="4875" max="4875" width="7.375" style="43" customWidth="1"/>
    <col min="4876" max="4876" width="9" style="43"/>
    <col min="4877" max="4877" width="9.25" style="43" customWidth="1"/>
    <col min="4878" max="4878" width="3.5" style="43" customWidth="1"/>
    <col min="4879" max="4880" width="12.625" style="43" customWidth="1"/>
    <col min="4881" max="4881" width="9" style="43"/>
    <col min="4882" max="4882" width="7.75" style="43" customWidth="1"/>
    <col min="4883" max="4883" width="13.125" style="43" customWidth="1"/>
    <col min="4884" max="4884" width="6.125" style="43" customWidth="1"/>
    <col min="4885" max="4885" width="9.75" style="43" customWidth="1"/>
    <col min="4886" max="4886" width="1.375" style="43" customWidth="1"/>
    <col min="4887" max="5126" width="9" style="43"/>
    <col min="5127" max="5127" width="1.375" style="43" customWidth="1"/>
    <col min="5128" max="5128" width="3.5" style="43" customWidth="1"/>
    <col min="5129" max="5129" width="22.125" style="43" customWidth="1"/>
    <col min="5130" max="5130" width="9.75" style="43" customWidth="1"/>
    <col min="5131" max="5131" width="7.375" style="43" customWidth="1"/>
    <col min="5132" max="5132" width="9" style="43"/>
    <col min="5133" max="5133" width="9.25" style="43" customWidth="1"/>
    <col min="5134" max="5134" width="3.5" style="43" customWidth="1"/>
    <col min="5135" max="5136" width="12.625" style="43" customWidth="1"/>
    <col min="5137" max="5137" width="9" style="43"/>
    <col min="5138" max="5138" width="7.75" style="43" customWidth="1"/>
    <col min="5139" max="5139" width="13.125" style="43" customWidth="1"/>
    <col min="5140" max="5140" width="6.125" style="43" customWidth="1"/>
    <col min="5141" max="5141" width="9.75" style="43" customWidth="1"/>
    <col min="5142" max="5142" width="1.375" style="43" customWidth="1"/>
    <col min="5143" max="5382" width="9" style="43"/>
    <col min="5383" max="5383" width="1.375" style="43" customWidth="1"/>
    <col min="5384" max="5384" width="3.5" style="43" customWidth="1"/>
    <col min="5385" max="5385" width="22.125" style="43" customWidth="1"/>
    <col min="5386" max="5386" width="9.75" style="43" customWidth="1"/>
    <col min="5387" max="5387" width="7.375" style="43" customWidth="1"/>
    <col min="5388" max="5388" width="9" style="43"/>
    <col min="5389" max="5389" width="9.25" style="43" customWidth="1"/>
    <col min="5390" max="5390" width="3.5" style="43" customWidth="1"/>
    <col min="5391" max="5392" width="12.625" style="43" customWidth="1"/>
    <col min="5393" max="5393" width="9" style="43"/>
    <col min="5394" max="5394" width="7.75" style="43" customWidth="1"/>
    <col min="5395" max="5395" width="13.125" style="43" customWidth="1"/>
    <col min="5396" max="5396" width="6.125" style="43" customWidth="1"/>
    <col min="5397" max="5397" width="9.75" style="43" customWidth="1"/>
    <col min="5398" max="5398" width="1.375" style="43" customWidth="1"/>
    <col min="5399" max="5638" width="9" style="43"/>
    <col min="5639" max="5639" width="1.375" style="43" customWidth="1"/>
    <col min="5640" max="5640" width="3.5" style="43" customWidth="1"/>
    <col min="5641" max="5641" width="22.125" style="43" customWidth="1"/>
    <col min="5642" max="5642" width="9.75" style="43" customWidth="1"/>
    <col min="5643" max="5643" width="7.375" style="43" customWidth="1"/>
    <col min="5644" max="5644" width="9" style="43"/>
    <col min="5645" max="5645" width="9.25" style="43" customWidth="1"/>
    <col min="5646" max="5646" width="3.5" style="43" customWidth="1"/>
    <col min="5647" max="5648" width="12.625" style="43" customWidth="1"/>
    <col min="5649" max="5649" width="9" style="43"/>
    <col min="5650" max="5650" width="7.75" style="43" customWidth="1"/>
    <col min="5651" max="5651" width="13.125" style="43" customWidth="1"/>
    <col min="5652" max="5652" width="6.125" style="43" customWidth="1"/>
    <col min="5653" max="5653" width="9.75" style="43" customWidth="1"/>
    <col min="5654" max="5654" width="1.375" style="43" customWidth="1"/>
    <col min="5655" max="5894" width="9" style="43"/>
    <col min="5895" max="5895" width="1.375" style="43" customWidth="1"/>
    <col min="5896" max="5896" width="3.5" style="43" customWidth="1"/>
    <col min="5897" max="5897" width="22.125" style="43" customWidth="1"/>
    <col min="5898" max="5898" width="9.75" style="43" customWidth="1"/>
    <col min="5899" max="5899" width="7.375" style="43" customWidth="1"/>
    <col min="5900" max="5900" width="9" style="43"/>
    <col min="5901" max="5901" width="9.25" style="43" customWidth="1"/>
    <col min="5902" max="5902" width="3.5" style="43" customWidth="1"/>
    <col min="5903" max="5904" width="12.625" style="43" customWidth="1"/>
    <col min="5905" max="5905" width="9" style="43"/>
    <col min="5906" max="5906" width="7.75" style="43" customWidth="1"/>
    <col min="5907" max="5907" width="13.125" style="43" customWidth="1"/>
    <col min="5908" max="5908" width="6.125" style="43" customWidth="1"/>
    <col min="5909" max="5909" width="9.75" style="43" customWidth="1"/>
    <col min="5910" max="5910" width="1.375" style="43" customWidth="1"/>
    <col min="5911" max="6150" width="9" style="43"/>
    <col min="6151" max="6151" width="1.375" style="43" customWidth="1"/>
    <col min="6152" max="6152" width="3.5" style="43" customWidth="1"/>
    <col min="6153" max="6153" width="22.125" style="43" customWidth="1"/>
    <col min="6154" max="6154" width="9.75" style="43" customWidth="1"/>
    <col min="6155" max="6155" width="7.375" style="43" customWidth="1"/>
    <col min="6156" max="6156" width="9" style="43"/>
    <col min="6157" max="6157" width="9.25" style="43" customWidth="1"/>
    <col min="6158" max="6158" width="3.5" style="43" customWidth="1"/>
    <col min="6159" max="6160" width="12.625" style="43" customWidth="1"/>
    <col min="6161" max="6161" width="9" style="43"/>
    <col min="6162" max="6162" width="7.75" style="43" customWidth="1"/>
    <col min="6163" max="6163" width="13.125" style="43" customWidth="1"/>
    <col min="6164" max="6164" width="6.125" style="43" customWidth="1"/>
    <col min="6165" max="6165" width="9.75" style="43" customWidth="1"/>
    <col min="6166" max="6166" width="1.375" style="43" customWidth="1"/>
    <col min="6167" max="6406" width="9" style="43"/>
    <col min="6407" max="6407" width="1.375" style="43" customWidth="1"/>
    <col min="6408" max="6408" width="3.5" style="43" customWidth="1"/>
    <col min="6409" max="6409" width="22.125" style="43" customWidth="1"/>
    <col min="6410" max="6410" width="9.75" style="43" customWidth="1"/>
    <col min="6411" max="6411" width="7.375" style="43" customWidth="1"/>
    <col min="6412" max="6412" width="9" style="43"/>
    <col min="6413" max="6413" width="9.25" style="43" customWidth="1"/>
    <col min="6414" max="6414" width="3.5" style="43" customWidth="1"/>
    <col min="6415" max="6416" width="12.625" style="43" customWidth="1"/>
    <col min="6417" max="6417" width="9" style="43"/>
    <col min="6418" max="6418" width="7.75" style="43" customWidth="1"/>
    <col min="6419" max="6419" width="13.125" style="43" customWidth="1"/>
    <col min="6420" max="6420" width="6.125" style="43" customWidth="1"/>
    <col min="6421" max="6421" width="9.75" style="43" customWidth="1"/>
    <col min="6422" max="6422" width="1.375" style="43" customWidth="1"/>
    <col min="6423" max="6662" width="9" style="43"/>
    <col min="6663" max="6663" width="1.375" style="43" customWidth="1"/>
    <col min="6664" max="6664" width="3.5" style="43" customWidth="1"/>
    <col min="6665" max="6665" width="22.125" style="43" customWidth="1"/>
    <col min="6666" max="6666" width="9.75" style="43" customWidth="1"/>
    <col min="6667" max="6667" width="7.375" style="43" customWidth="1"/>
    <col min="6668" max="6668" width="9" style="43"/>
    <col min="6669" max="6669" width="9.25" style="43" customWidth="1"/>
    <col min="6670" max="6670" width="3.5" style="43" customWidth="1"/>
    <col min="6671" max="6672" width="12.625" style="43" customWidth="1"/>
    <col min="6673" max="6673" width="9" style="43"/>
    <col min="6674" max="6674" width="7.75" style="43" customWidth="1"/>
    <col min="6675" max="6675" width="13.125" style="43" customWidth="1"/>
    <col min="6676" max="6676" width="6.125" style="43" customWidth="1"/>
    <col min="6677" max="6677" width="9.75" style="43" customWidth="1"/>
    <col min="6678" max="6678" width="1.375" style="43" customWidth="1"/>
    <col min="6679" max="6918" width="9" style="43"/>
    <col min="6919" max="6919" width="1.375" style="43" customWidth="1"/>
    <col min="6920" max="6920" width="3.5" style="43" customWidth="1"/>
    <col min="6921" max="6921" width="22.125" style="43" customWidth="1"/>
    <col min="6922" max="6922" width="9.75" style="43" customWidth="1"/>
    <col min="6923" max="6923" width="7.375" style="43" customWidth="1"/>
    <col min="6924" max="6924" width="9" style="43"/>
    <col min="6925" max="6925" width="9.25" style="43" customWidth="1"/>
    <col min="6926" max="6926" width="3.5" style="43" customWidth="1"/>
    <col min="6927" max="6928" width="12.625" style="43" customWidth="1"/>
    <col min="6929" max="6929" width="9" style="43"/>
    <col min="6930" max="6930" width="7.75" style="43" customWidth="1"/>
    <col min="6931" max="6931" width="13.125" style="43" customWidth="1"/>
    <col min="6932" max="6932" width="6.125" style="43" customWidth="1"/>
    <col min="6933" max="6933" width="9.75" style="43" customWidth="1"/>
    <col min="6934" max="6934" width="1.375" style="43" customWidth="1"/>
    <col min="6935" max="7174" width="9" style="43"/>
    <col min="7175" max="7175" width="1.375" style="43" customWidth="1"/>
    <col min="7176" max="7176" width="3.5" style="43" customWidth="1"/>
    <col min="7177" max="7177" width="22.125" style="43" customWidth="1"/>
    <col min="7178" max="7178" width="9.75" style="43" customWidth="1"/>
    <col min="7179" max="7179" width="7.375" style="43" customWidth="1"/>
    <col min="7180" max="7180" width="9" style="43"/>
    <col min="7181" max="7181" width="9.25" style="43" customWidth="1"/>
    <col min="7182" max="7182" width="3.5" style="43" customWidth="1"/>
    <col min="7183" max="7184" width="12.625" style="43" customWidth="1"/>
    <col min="7185" max="7185" width="9" style="43"/>
    <col min="7186" max="7186" width="7.75" style="43" customWidth="1"/>
    <col min="7187" max="7187" width="13.125" style="43" customWidth="1"/>
    <col min="7188" max="7188" width="6.125" style="43" customWidth="1"/>
    <col min="7189" max="7189" width="9.75" style="43" customWidth="1"/>
    <col min="7190" max="7190" width="1.375" style="43" customWidth="1"/>
    <col min="7191" max="7430" width="9" style="43"/>
    <col min="7431" max="7431" width="1.375" style="43" customWidth="1"/>
    <col min="7432" max="7432" width="3.5" style="43" customWidth="1"/>
    <col min="7433" max="7433" width="22.125" style="43" customWidth="1"/>
    <col min="7434" max="7434" width="9.75" style="43" customWidth="1"/>
    <col min="7435" max="7435" width="7.375" style="43" customWidth="1"/>
    <col min="7436" max="7436" width="9" style="43"/>
    <col min="7437" max="7437" width="9.25" style="43" customWidth="1"/>
    <col min="7438" max="7438" width="3.5" style="43" customWidth="1"/>
    <col min="7439" max="7440" width="12.625" style="43" customWidth="1"/>
    <col min="7441" max="7441" width="9" style="43"/>
    <col min="7442" max="7442" width="7.75" style="43" customWidth="1"/>
    <col min="7443" max="7443" width="13.125" style="43" customWidth="1"/>
    <col min="7444" max="7444" width="6.125" style="43" customWidth="1"/>
    <col min="7445" max="7445" width="9.75" style="43" customWidth="1"/>
    <col min="7446" max="7446" width="1.375" style="43" customWidth="1"/>
    <col min="7447" max="7686" width="9" style="43"/>
    <col min="7687" max="7687" width="1.375" style="43" customWidth="1"/>
    <col min="7688" max="7688" width="3.5" style="43" customWidth="1"/>
    <col min="7689" max="7689" width="22.125" style="43" customWidth="1"/>
    <col min="7690" max="7690" width="9.75" style="43" customWidth="1"/>
    <col min="7691" max="7691" width="7.375" style="43" customWidth="1"/>
    <col min="7692" max="7692" width="9" style="43"/>
    <col min="7693" max="7693" width="9.25" style="43" customWidth="1"/>
    <col min="7694" max="7694" width="3.5" style="43" customWidth="1"/>
    <col min="7695" max="7696" width="12.625" style="43" customWidth="1"/>
    <col min="7697" max="7697" width="9" style="43"/>
    <col min="7698" max="7698" width="7.75" style="43" customWidth="1"/>
    <col min="7699" max="7699" width="13.125" style="43" customWidth="1"/>
    <col min="7700" max="7700" width="6.125" style="43" customWidth="1"/>
    <col min="7701" max="7701" width="9.75" style="43" customWidth="1"/>
    <col min="7702" max="7702" width="1.375" style="43" customWidth="1"/>
    <col min="7703" max="7942" width="9" style="43"/>
    <col min="7943" max="7943" width="1.375" style="43" customWidth="1"/>
    <col min="7944" max="7944" width="3.5" style="43" customWidth="1"/>
    <col min="7945" max="7945" width="22.125" style="43" customWidth="1"/>
    <col min="7946" max="7946" width="9.75" style="43" customWidth="1"/>
    <col min="7947" max="7947" width="7.375" style="43" customWidth="1"/>
    <col min="7948" max="7948" width="9" style="43"/>
    <col min="7949" max="7949" width="9.25" style="43" customWidth="1"/>
    <col min="7950" max="7950" width="3.5" style="43" customWidth="1"/>
    <col min="7951" max="7952" width="12.625" style="43" customWidth="1"/>
    <col min="7953" max="7953" width="9" style="43"/>
    <col min="7954" max="7954" width="7.75" style="43" customWidth="1"/>
    <col min="7955" max="7955" width="13.125" style="43" customWidth="1"/>
    <col min="7956" max="7956" width="6.125" style="43" customWidth="1"/>
    <col min="7957" max="7957" width="9.75" style="43" customWidth="1"/>
    <col min="7958" max="7958" width="1.375" style="43" customWidth="1"/>
    <col min="7959" max="8198" width="9" style="43"/>
    <col min="8199" max="8199" width="1.375" style="43" customWidth="1"/>
    <col min="8200" max="8200" width="3.5" style="43" customWidth="1"/>
    <col min="8201" max="8201" width="22.125" style="43" customWidth="1"/>
    <col min="8202" max="8202" width="9.75" style="43" customWidth="1"/>
    <col min="8203" max="8203" width="7.375" style="43" customWidth="1"/>
    <col min="8204" max="8204" width="9" style="43"/>
    <col min="8205" max="8205" width="9.25" style="43" customWidth="1"/>
    <col min="8206" max="8206" width="3.5" style="43" customWidth="1"/>
    <col min="8207" max="8208" width="12.625" style="43" customWidth="1"/>
    <col min="8209" max="8209" width="9" style="43"/>
    <col min="8210" max="8210" width="7.75" style="43" customWidth="1"/>
    <col min="8211" max="8211" width="13.125" style="43" customWidth="1"/>
    <col min="8212" max="8212" width="6.125" style="43" customWidth="1"/>
    <col min="8213" max="8213" width="9.75" style="43" customWidth="1"/>
    <col min="8214" max="8214" width="1.375" style="43" customWidth="1"/>
    <col min="8215" max="8454" width="9" style="43"/>
    <col min="8455" max="8455" width="1.375" style="43" customWidth="1"/>
    <col min="8456" max="8456" width="3.5" style="43" customWidth="1"/>
    <col min="8457" max="8457" width="22.125" style="43" customWidth="1"/>
    <col min="8458" max="8458" width="9.75" style="43" customWidth="1"/>
    <col min="8459" max="8459" width="7.375" style="43" customWidth="1"/>
    <col min="8460" max="8460" width="9" style="43"/>
    <col min="8461" max="8461" width="9.25" style="43" customWidth="1"/>
    <col min="8462" max="8462" width="3.5" style="43" customWidth="1"/>
    <col min="8463" max="8464" width="12.625" style="43" customWidth="1"/>
    <col min="8465" max="8465" width="9" style="43"/>
    <col min="8466" max="8466" width="7.75" style="43" customWidth="1"/>
    <col min="8467" max="8467" width="13.125" style="43" customWidth="1"/>
    <col min="8468" max="8468" width="6.125" style="43" customWidth="1"/>
    <col min="8469" max="8469" width="9.75" style="43" customWidth="1"/>
    <col min="8470" max="8470" width="1.375" style="43" customWidth="1"/>
    <col min="8471" max="8710" width="9" style="43"/>
    <col min="8711" max="8711" width="1.375" style="43" customWidth="1"/>
    <col min="8712" max="8712" width="3.5" style="43" customWidth="1"/>
    <col min="8713" max="8713" width="22.125" style="43" customWidth="1"/>
    <col min="8714" max="8714" width="9.75" style="43" customWidth="1"/>
    <col min="8715" max="8715" width="7.375" style="43" customWidth="1"/>
    <col min="8716" max="8716" width="9" style="43"/>
    <col min="8717" max="8717" width="9.25" style="43" customWidth="1"/>
    <col min="8718" max="8718" width="3.5" style="43" customWidth="1"/>
    <col min="8719" max="8720" width="12.625" style="43" customWidth="1"/>
    <col min="8721" max="8721" width="9" style="43"/>
    <col min="8722" max="8722" width="7.75" style="43" customWidth="1"/>
    <col min="8723" max="8723" width="13.125" style="43" customWidth="1"/>
    <col min="8724" max="8724" width="6.125" style="43" customWidth="1"/>
    <col min="8725" max="8725" width="9.75" style="43" customWidth="1"/>
    <col min="8726" max="8726" width="1.375" style="43" customWidth="1"/>
    <col min="8727" max="8966" width="9" style="43"/>
    <col min="8967" max="8967" width="1.375" style="43" customWidth="1"/>
    <col min="8968" max="8968" width="3.5" style="43" customWidth="1"/>
    <col min="8969" max="8969" width="22.125" style="43" customWidth="1"/>
    <col min="8970" max="8970" width="9.75" style="43" customWidth="1"/>
    <col min="8971" max="8971" width="7.375" style="43" customWidth="1"/>
    <col min="8972" max="8972" width="9" style="43"/>
    <col min="8973" max="8973" width="9.25" style="43" customWidth="1"/>
    <col min="8974" max="8974" width="3.5" style="43" customWidth="1"/>
    <col min="8975" max="8976" width="12.625" style="43" customWidth="1"/>
    <col min="8977" max="8977" width="9" style="43"/>
    <col min="8978" max="8978" width="7.75" style="43" customWidth="1"/>
    <col min="8979" max="8979" width="13.125" style="43" customWidth="1"/>
    <col min="8980" max="8980" width="6.125" style="43" customWidth="1"/>
    <col min="8981" max="8981" width="9.75" style="43" customWidth="1"/>
    <col min="8982" max="8982" width="1.375" style="43" customWidth="1"/>
    <col min="8983" max="9222" width="9" style="43"/>
    <col min="9223" max="9223" width="1.375" style="43" customWidth="1"/>
    <col min="9224" max="9224" width="3.5" style="43" customWidth="1"/>
    <col min="9225" max="9225" width="22.125" style="43" customWidth="1"/>
    <col min="9226" max="9226" width="9.75" style="43" customWidth="1"/>
    <col min="9227" max="9227" width="7.375" style="43" customWidth="1"/>
    <col min="9228" max="9228" width="9" style="43"/>
    <col min="9229" max="9229" width="9.25" style="43" customWidth="1"/>
    <col min="9230" max="9230" width="3.5" style="43" customWidth="1"/>
    <col min="9231" max="9232" width="12.625" style="43" customWidth="1"/>
    <col min="9233" max="9233" width="9" style="43"/>
    <col min="9234" max="9234" width="7.75" style="43" customWidth="1"/>
    <col min="9235" max="9235" width="13.125" style="43" customWidth="1"/>
    <col min="9236" max="9236" width="6.125" style="43" customWidth="1"/>
    <col min="9237" max="9237" width="9.75" style="43" customWidth="1"/>
    <col min="9238" max="9238" width="1.375" style="43" customWidth="1"/>
    <col min="9239" max="9478" width="9" style="43"/>
    <col min="9479" max="9479" width="1.375" style="43" customWidth="1"/>
    <col min="9480" max="9480" width="3.5" style="43" customWidth="1"/>
    <col min="9481" max="9481" width="22.125" style="43" customWidth="1"/>
    <col min="9482" max="9482" width="9.75" style="43" customWidth="1"/>
    <col min="9483" max="9483" width="7.375" style="43" customWidth="1"/>
    <col min="9484" max="9484" width="9" style="43"/>
    <col min="9485" max="9485" width="9.25" style="43" customWidth="1"/>
    <col min="9486" max="9486" width="3.5" style="43" customWidth="1"/>
    <col min="9487" max="9488" width="12.625" style="43" customWidth="1"/>
    <col min="9489" max="9489" width="9" style="43"/>
    <col min="9490" max="9490" width="7.75" style="43" customWidth="1"/>
    <col min="9491" max="9491" width="13.125" style="43" customWidth="1"/>
    <col min="9492" max="9492" width="6.125" style="43" customWidth="1"/>
    <col min="9493" max="9493" width="9.75" style="43" customWidth="1"/>
    <col min="9494" max="9494" width="1.375" style="43" customWidth="1"/>
    <col min="9495" max="9734" width="9" style="43"/>
    <col min="9735" max="9735" width="1.375" style="43" customWidth="1"/>
    <col min="9736" max="9736" width="3.5" style="43" customWidth="1"/>
    <col min="9737" max="9737" width="22.125" style="43" customWidth="1"/>
    <col min="9738" max="9738" width="9.75" style="43" customWidth="1"/>
    <col min="9739" max="9739" width="7.375" style="43" customWidth="1"/>
    <col min="9740" max="9740" width="9" style="43"/>
    <col min="9741" max="9741" width="9.25" style="43" customWidth="1"/>
    <col min="9742" max="9742" width="3.5" style="43" customWidth="1"/>
    <col min="9743" max="9744" width="12.625" style="43" customWidth="1"/>
    <col min="9745" max="9745" width="9" style="43"/>
    <col min="9746" max="9746" width="7.75" style="43" customWidth="1"/>
    <col min="9747" max="9747" width="13.125" style="43" customWidth="1"/>
    <col min="9748" max="9748" width="6.125" style="43" customWidth="1"/>
    <col min="9749" max="9749" width="9.75" style="43" customWidth="1"/>
    <col min="9750" max="9750" width="1.375" style="43" customWidth="1"/>
    <col min="9751" max="9990" width="9" style="43"/>
    <col min="9991" max="9991" width="1.375" style="43" customWidth="1"/>
    <col min="9992" max="9992" width="3.5" style="43" customWidth="1"/>
    <col min="9993" max="9993" width="22.125" style="43" customWidth="1"/>
    <col min="9994" max="9994" width="9.75" style="43" customWidth="1"/>
    <col min="9995" max="9995" width="7.375" style="43" customWidth="1"/>
    <col min="9996" max="9996" width="9" style="43"/>
    <col min="9997" max="9997" width="9.25" style="43" customWidth="1"/>
    <col min="9998" max="9998" width="3.5" style="43" customWidth="1"/>
    <col min="9999" max="10000" width="12.625" style="43" customWidth="1"/>
    <col min="10001" max="10001" width="9" style="43"/>
    <col min="10002" max="10002" width="7.75" style="43" customWidth="1"/>
    <col min="10003" max="10003" width="13.125" style="43" customWidth="1"/>
    <col min="10004" max="10004" width="6.125" style="43" customWidth="1"/>
    <col min="10005" max="10005" width="9.75" style="43" customWidth="1"/>
    <col min="10006" max="10006" width="1.375" style="43" customWidth="1"/>
    <col min="10007" max="10246" width="9" style="43"/>
    <col min="10247" max="10247" width="1.375" style="43" customWidth="1"/>
    <col min="10248" max="10248" width="3.5" style="43" customWidth="1"/>
    <col min="10249" max="10249" width="22.125" style="43" customWidth="1"/>
    <col min="10250" max="10250" width="9.75" style="43" customWidth="1"/>
    <col min="10251" max="10251" width="7.375" style="43" customWidth="1"/>
    <col min="10252" max="10252" width="9" style="43"/>
    <col min="10253" max="10253" width="9.25" style="43" customWidth="1"/>
    <col min="10254" max="10254" width="3.5" style="43" customWidth="1"/>
    <col min="10255" max="10256" width="12.625" style="43" customWidth="1"/>
    <col min="10257" max="10257" width="9" style="43"/>
    <col min="10258" max="10258" width="7.75" style="43" customWidth="1"/>
    <col min="10259" max="10259" width="13.125" style="43" customWidth="1"/>
    <col min="10260" max="10260" width="6.125" style="43" customWidth="1"/>
    <col min="10261" max="10261" width="9.75" style="43" customWidth="1"/>
    <col min="10262" max="10262" width="1.375" style="43" customWidth="1"/>
    <col min="10263" max="10502" width="9" style="43"/>
    <col min="10503" max="10503" width="1.375" style="43" customWidth="1"/>
    <col min="10504" max="10504" width="3.5" style="43" customWidth="1"/>
    <col min="10505" max="10505" width="22.125" style="43" customWidth="1"/>
    <col min="10506" max="10506" width="9.75" style="43" customWidth="1"/>
    <col min="10507" max="10507" width="7.375" style="43" customWidth="1"/>
    <col min="10508" max="10508" width="9" style="43"/>
    <col min="10509" max="10509" width="9.25" style="43" customWidth="1"/>
    <col min="10510" max="10510" width="3.5" style="43" customWidth="1"/>
    <col min="10511" max="10512" width="12.625" style="43" customWidth="1"/>
    <col min="10513" max="10513" width="9" style="43"/>
    <col min="10514" max="10514" width="7.75" style="43" customWidth="1"/>
    <col min="10515" max="10515" width="13.125" style="43" customWidth="1"/>
    <col min="10516" max="10516" width="6.125" style="43" customWidth="1"/>
    <col min="10517" max="10517" width="9.75" style="43" customWidth="1"/>
    <col min="10518" max="10518" width="1.375" style="43" customWidth="1"/>
    <col min="10519" max="10758" width="9" style="43"/>
    <col min="10759" max="10759" width="1.375" style="43" customWidth="1"/>
    <col min="10760" max="10760" width="3.5" style="43" customWidth="1"/>
    <col min="10761" max="10761" width="22.125" style="43" customWidth="1"/>
    <col min="10762" max="10762" width="9.75" style="43" customWidth="1"/>
    <col min="10763" max="10763" width="7.375" style="43" customWidth="1"/>
    <col min="10764" max="10764" width="9" style="43"/>
    <col min="10765" max="10765" width="9.25" style="43" customWidth="1"/>
    <col min="10766" max="10766" width="3.5" style="43" customWidth="1"/>
    <col min="10767" max="10768" width="12.625" style="43" customWidth="1"/>
    <col min="10769" max="10769" width="9" style="43"/>
    <col min="10770" max="10770" width="7.75" style="43" customWidth="1"/>
    <col min="10771" max="10771" width="13.125" style="43" customWidth="1"/>
    <col min="10772" max="10772" width="6.125" style="43" customWidth="1"/>
    <col min="10773" max="10773" width="9.75" style="43" customWidth="1"/>
    <col min="10774" max="10774" width="1.375" style="43" customWidth="1"/>
    <col min="10775" max="11014" width="9" style="43"/>
    <col min="11015" max="11015" width="1.375" style="43" customWidth="1"/>
    <col min="11016" max="11016" width="3.5" style="43" customWidth="1"/>
    <col min="11017" max="11017" width="22.125" style="43" customWidth="1"/>
    <col min="11018" max="11018" width="9.75" style="43" customWidth="1"/>
    <col min="11019" max="11019" width="7.375" style="43" customWidth="1"/>
    <col min="11020" max="11020" width="9" style="43"/>
    <col min="11021" max="11021" width="9.25" style="43" customWidth="1"/>
    <col min="11022" max="11022" width="3.5" style="43" customWidth="1"/>
    <col min="11023" max="11024" width="12.625" style="43" customWidth="1"/>
    <col min="11025" max="11025" width="9" style="43"/>
    <col min="11026" max="11026" width="7.75" style="43" customWidth="1"/>
    <col min="11027" max="11027" width="13.125" style="43" customWidth="1"/>
    <col min="11028" max="11028" width="6.125" style="43" customWidth="1"/>
    <col min="11029" max="11029" width="9.75" style="43" customWidth="1"/>
    <col min="11030" max="11030" width="1.375" style="43" customWidth="1"/>
    <col min="11031" max="11270" width="9" style="43"/>
    <col min="11271" max="11271" width="1.375" style="43" customWidth="1"/>
    <col min="11272" max="11272" width="3.5" style="43" customWidth="1"/>
    <col min="11273" max="11273" width="22.125" style="43" customWidth="1"/>
    <col min="11274" max="11274" width="9.75" style="43" customWidth="1"/>
    <col min="11275" max="11275" width="7.375" style="43" customWidth="1"/>
    <col min="11276" max="11276" width="9" style="43"/>
    <col min="11277" max="11277" width="9.25" style="43" customWidth="1"/>
    <col min="11278" max="11278" width="3.5" style="43" customWidth="1"/>
    <col min="11279" max="11280" width="12.625" style="43" customWidth="1"/>
    <col min="11281" max="11281" width="9" style="43"/>
    <col min="11282" max="11282" width="7.75" style="43" customWidth="1"/>
    <col min="11283" max="11283" width="13.125" style="43" customWidth="1"/>
    <col min="11284" max="11284" width="6.125" style="43" customWidth="1"/>
    <col min="11285" max="11285" width="9.75" style="43" customWidth="1"/>
    <col min="11286" max="11286" width="1.375" style="43" customWidth="1"/>
    <col min="11287" max="11526" width="9" style="43"/>
    <col min="11527" max="11527" width="1.375" style="43" customWidth="1"/>
    <col min="11528" max="11528" width="3.5" style="43" customWidth="1"/>
    <col min="11529" max="11529" width="22.125" style="43" customWidth="1"/>
    <col min="11530" max="11530" width="9.75" style="43" customWidth="1"/>
    <col min="11531" max="11531" width="7.375" style="43" customWidth="1"/>
    <col min="11532" max="11532" width="9" style="43"/>
    <col min="11533" max="11533" width="9.25" style="43" customWidth="1"/>
    <col min="11534" max="11534" width="3.5" style="43" customWidth="1"/>
    <col min="11535" max="11536" width="12.625" style="43" customWidth="1"/>
    <col min="11537" max="11537" width="9" style="43"/>
    <col min="11538" max="11538" width="7.75" style="43" customWidth="1"/>
    <col min="11539" max="11539" width="13.125" style="43" customWidth="1"/>
    <col min="11540" max="11540" width="6.125" style="43" customWidth="1"/>
    <col min="11541" max="11541" width="9.75" style="43" customWidth="1"/>
    <col min="11542" max="11542" width="1.375" style="43" customWidth="1"/>
    <col min="11543" max="11782" width="9" style="43"/>
    <col min="11783" max="11783" width="1.375" style="43" customWidth="1"/>
    <col min="11784" max="11784" width="3.5" style="43" customWidth="1"/>
    <col min="11785" max="11785" width="22.125" style="43" customWidth="1"/>
    <col min="11786" max="11786" width="9.75" style="43" customWidth="1"/>
    <col min="11787" max="11787" width="7.375" style="43" customWidth="1"/>
    <col min="11788" max="11788" width="9" style="43"/>
    <col min="11789" max="11789" width="9.25" style="43" customWidth="1"/>
    <col min="11790" max="11790" width="3.5" style="43" customWidth="1"/>
    <col min="11791" max="11792" width="12.625" style="43" customWidth="1"/>
    <col min="11793" max="11793" width="9" style="43"/>
    <col min="11794" max="11794" width="7.75" style="43" customWidth="1"/>
    <col min="11795" max="11795" width="13.125" style="43" customWidth="1"/>
    <col min="11796" max="11796" width="6.125" style="43" customWidth="1"/>
    <col min="11797" max="11797" width="9.75" style="43" customWidth="1"/>
    <col min="11798" max="11798" width="1.375" style="43" customWidth="1"/>
    <col min="11799" max="12038" width="9" style="43"/>
    <col min="12039" max="12039" width="1.375" style="43" customWidth="1"/>
    <col min="12040" max="12040" width="3.5" style="43" customWidth="1"/>
    <col min="12041" max="12041" width="22.125" style="43" customWidth="1"/>
    <col min="12042" max="12042" width="9.75" style="43" customWidth="1"/>
    <col min="12043" max="12043" width="7.375" style="43" customWidth="1"/>
    <col min="12044" max="12044" width="9" style="43"/>
    <col min="12045" max="12045" width="9.25" style="43" customWidth="1"/>
    <col min="12046" max="12046" width="3.5" style="43" customWidth="1"/>
    <col min="12047" max="12048" width="12.625" style="43" customWidth="1"/>
    <col min="12049" max="12049" width="9" style="43"/>
    <col min="12050" max="12050" width="7.75" style="43" customWidth="1"/>
    <col min="12051" max="12051" width="13.125" style="43" customWidth="1"/>
    <col min="12052" max="12052" width="6.125" style="43" customWidth="1"/>
    <col min="12053" max="12053" width="9.75" style="43" customWidth="1"/>
    <col min="12054" max="12054" width="1.375" style="43" customWidth="1"/>
    <col min="12055" max="12294" width="9" style="43"/>
    <col min="12295" max="12295" width="1.375" style="43" customWidth="1"/>
    <col min="12296" max="12296" width="3.5" style="43" customWidth="1"/>
    <col min="12297" max="12297" width="22.125" style="43" customWidth="1"/>
    <col min="12298" max="12298" width="9.75" style="43" customWidth="1"/>
    <col min="12299" max="12299" width="7.375" style="43" customWidth="1"/>
    <col min="12300" max="12300" width="9" style="43"/>
    <col min="12301" max="12301" width="9.25" style="43" customWidth="1"/>
    <col min="12302" max="12302" width="3.5" style="43" customWidth="1"/>
    <col min="12303" max="12304" width="12.625" style="43" customWidth="1"/>
    <col min="12305" max="12305" width="9" style="43"/>
    <col min="12306" max="12306" width="7.75" style="43" customWidth="1"/>
    <col min="12307" max="12307" width="13.125" style="43" customWidth="1"/>
    <col min="12308" max="12308" width="6.125" style="43" customWidth="1"/>
    <col min="12309" max="12309" width="9.75" style="43" customWidth="1"/>
    <col min="12310" max="12310" width="1.375" style="43" customWidth="1"/>
    <col min="12311" max="12550" width="9" style="43"/>
    <col min="12551" max="12551" width="1.375" style="43" customWidth="1"/>
    <col min="12552" max="12552" width="3.5" style="43" customWidth="1"/>
    <col min="12553" max="12553" width="22.125" style="43" customWidth="1"/>
    <col min="12554" max="12554" width="9.75" style="43" customWidth="1"/>
    <col min="12555" max="12555" width="7.375" style="43" customWidth="1"/>
    <col min="12556" max="12556" width="9" style="43"/>
    <col min="12557" max="12557" width="9.25" style="43" customWidth="1"/>
    <col min="12558" max="12558" width="3.5" style="43" customWidth="1"/>
    <col min="12559" max="12560" width="12.625" style="43" customWidth="1"/>
    <col min="12561" max="12561" width="9" style="43"/>
    <col min="12562" max="12562" width="7.75" style="43" customWidth="1"/>
    <col min="12563" max="12563" width="13.125" style="43" customWidth="1"/>
    <col min="12564" max="12564" width="6.125" style="43" customWidth="1"/>
    <col min="12565" max="12565" width="9.75" style="43" customWidth="1"/>
    <col min="12566" max="12566" width="1.375" style="43" customWidth="1"/>
    <col min="12567" max="12806" width="9" style="43"/>
    <col min="12807" max="12807" width="1.375" style="43" customWidth="1"/>
    <col min="12808" max="12808" width="3.5" style="43" customWidth="1"/>
    <col min="12809" max="12809" width="22.125" style="43" customWidth="1"/>
    <col min="12810" max="12810" width="9.75" style="43" customWidth="1"/>
    <col min="12811" max="12811" width="7.375" style="43" customWidth="1"/>
    <col min="12812" max="12812" width="9" style="43"/>
    <col min="12813" max="12813" width="9.25" style="43" customWidth="1"/>
    <col min="12814" max="12814" width="3.5" style="43" customWidth="1"/>
    <col min="12815" max="12816" width="12.625" style="43" customWidth="1"/>
    <col min="12817" max="12817" width="9" style="43"/>
    <col min="12818" max="12818" width="7.75" style="43" customWidth="1"/>
    <col min="12819" max="12819" width="13.125" style="43" customWidth="1"/>
    <col min="12820" max="12820" width="6.125" style="43" customWidth="1"/>
    <col min="12821" max="12821" width="9.75" style="43" customWidth="1"/>
    <col min="12822" max="12822" width="1.375" style="43" customWidth="1"/>
    <col min="12823" max="13062" width="9" style="43"/>
    <col min="13063" max="13063" width="1.375" style="43" customWidth="1"/>
    <col min="13064" max="13064" width="3.5" style="43" customWidth="1"/>
    <col min="13065" max="13065" width="22.125" style="43" customWidth="1"/>
    <col min="13066" max="13066" width="9.75" style="43" customWidth="1"/>
    <col min="13067" max="13067" width="7.375" style="43" customWidth="1"/>
    <col min="13068" max="13068" width="9" style="43"/>
    <col min="13069" max="13069" width="9.25" style="43" customWidth="1"/>
    <col min="13070" max="13070" width="3.5" style="43" customWidth="1"/>
    <col min="13071" max="13072" width="12.625" style="43" customWidth="1"/>
    <col min="13073" max="13073" width="9" style="43"/>
    <col min="13074" max="13074" width="7.75" style="43" customWidth="1"/>
    <col min="13075" max="13075" width="13.125" style="43" customWidth="1"/>
    <col min="13076" max="13076" width="6.125" style="43" customWidth="1"/>
    <col min="13077" max="13077" width="9.75" style="43" customWidth="1"/>
    <col min="13078" max="13078" width="1.375" style="43" customWidth="1"/>
    <col min="13079" max="13318" width="9" style="43"/>
    <col min="13319" max="13319" width="1.375" style="43" customWidth="1"/>
    <col min="13320" max="13320" width="3.5" style="43" customWidth="1"/>
    <col min="13321" max="13321" width="22.125" style="43" customWidth="1"/>
    <col min="13322" max="13322" width="9.75" style="43" customWidth="1"/>
    <col min="13323" max="13323" width="7.375" style="43" customWidth="1"/>
    <col min="13324" max="13324" width="9" style="43"/>
    <col min="13325" max="13325" width="9.25" style="43" customWidth="1"/>
    <col min="13326" max="13326" width="3.5" style="43" customWidth="1"/>
    <col min="13327" max="13328" width="12.625" style="43" customWidth="1"/>
    <col min="13329" max="13329" width="9" style="43"/>
    <col min="13330" max="13330" width="7.75" style="43" customWidth="1"/>
    <col min="13331" max="13331" width="13.125" style="43" customWidth="1"/>
    <col min="13332" max="13332" width="6.125" style="43" customWidth="1"/>
    <col min="13333" max="13333" width="9.75" style="43" customWidth="1"/>
    <col min="13334" max="13334" width="1.375" style="43" customWidth="1"/>
    <col min="13335" max="13574" width="9" style="43"/>
    <col min="13575" max="13575" width="1.375" style="43" customWidth="1"/>
    <col min="13576" max="13576" width="3.5" style="43" customWidth="1"/>
    <col min="13577" max="13577" width="22.125" style="43" customWidth="1"/>
    <col min="13578" max="13578" width="9.75" style="43" customWidth="1"/>
    <col min="13579" max="13579" width="7.375" style="43" customWidth="1"/>
    <col min="13580" max="13580" width="9" style="43"/>
    <col min="13581" max="13581" width="9.25" style="43" customWidth="1"/>
    <col min="13582" max="13582" width="3.5" style="43" customWidth="1"/>
    <col min="13583" max="13584" width="12.625" style="43" customWidth="1"/>
    <col min="13585" max="13585" width="9" style="43"/>
    <col min="13586" max="13586" width="7.75" style="43" customWidth="1"/>
    <col min="13587" max="13587" width="13.125" style="43" customWidth="1"/>
    <col min="13588" max="13588" width="6.125" style="43" customWidth="1"/>
    <col min="13589" max="13589" width="9.75" style="43" customWidth="1"/>
    <col min="13590" max="13590" width="1.375" style="43" customWidth="1"/>
    <col min="13591" max="13830" width="9" style="43"/>
    <col min="13831" max="13831" width="1.375" style="43" customWidth="1"/>
    <col min="13832" max="13832" width="3.5" style="43" customWidth="1"/>
    <col min="13833" max="13833" width="22.125" style="43" customWidth="1"/>
    <col min="13834" max="13834" width="9.75" style="43" customWidth="1"/>
    <col min="13835" max="13835" width="7.375" style="43" customWidth="1"/>
    <col min="13836" max="13836" width="9" style="43"/>
    <col min="13837" max="13837" width="9.25" style="43" customWidth="1"/>
    <col min="13838" max="13838" width="3.5" style="43" customWidth="1"/>
    <col min="13839" max="13840" width="12.625" style="43" customWidth="1"/>
    <col min="13841" max="13841" width="9" style="43"/>
    <col min="13842" max="13842" width="7.75" style="43" customWidth="1"/>
    <col min="13843" max="13843" width="13.125" style="43" customWidth="1"/>
    <col min="13844" max="13844" width="6.125" style="43" customWidth="1"/>
    <col min="13845" max="13845" width="9.75" style="43" customWidth="1"/>
    <col min="13846" max="13846" width="1.375" style="43" customWidth="1"/>
    <col min="13847" max="14086" width="9" style="43"/>
    <col min="14087" max="14087" width="1.375" style="43" customWidth="1"/>
    <col min="14088" max="14088" width="3.5" style="43" customWidth="1"/>
    <col min="14089" max="14089" width="22.125" style="43" customWidth="1"/>
    <col min="14090" max="14090" width="9.75" style="43" customWidth="1"/>
    <col min="14091" max="14091" width="7.375" style="43" customWidth="1"/>
    <col min="14092" max="14092" width="9" style="43"/>
    <col min="14093" max="14093" width="9.25" style="43" customWidth="1"/>
    <col min="14094" max="14094" width="3.5" style="43" customWidth="1"/>
    <col min="14095" max="14096" width="12.625" style="43" customWidth="1"/>
    <col min="14097" max="14097" width="9" style="43"/>
    <col min="14098" max="14098" width="7.75" style="43" customWidth="1"/>
    <col min="14099" max="14099" width="13.125" style="43" customWidth="1"/>
    <col min="14100" max="14100" width="6.125" style="43" customWidth="1"/>
    <col min="14101" max="14101" width="9.75" style="43" customWidth="1"/>
    <col min="14102" max="14102" width="1.375" style="43" customWidth="1"/>
    <col min="14103" max="14342" width="9" style="43"/>
    <col min="14343" max="14343" width="1.375" style="43" customWidth="1"/>
    <col min="14344" max="14344" width="3.5" style="43" customWidth="1"/>
    <col min="14345" max="14345" width="22.125" style="43" customWidth="1"/>
    <col min="14346" max="14346" width="9.75" style="43" customWidth="1"/>
    <col min="14347" max="14347" width="7.375" style="43" customWidth="1"/>
    <col min="14348" max="14348" width="9" style="43"/>
    <col min="14349" max="14349" width="9.25" style="43" customWidth="1"/>
    <col min="14350" max="14350" width="3.5" style="43" customWidth="1"/>
    <col min="14351" max="14352" width="12.625" style="43" customWidth="1"/>
    <col min="14353" max="14353" width="9" style="43"/>
    <col min="14354" max="14354" width="7.75" style="43" customWidth="1"/>
    <col min="14355" max="14355" width="13.125" style="43" customWidth="1"/>
    <col min="14356" max="14356" width="6.125" style="43" customWidth="1"/>
    <col min="14357" max="14357" width="9.75" style="43" customWidth="1"/>
    <col min="14358" max="14358" width="1.375" style="43" customWidth="1"/>
    <col min="14359" max="14598" width="9" style="43"/>
    <col min="14599" max="14599" width="1.375" style="43" customWidth="1"/>
    <col min="14600" max="14600" width="3.5" style="43" customWidth="1"/>
    <col min="14601" max="14601" width="22.125" style="43" customWidth="1"/>
    <col min="14602" max="14602" width="9.75" style="43" customWidth="1"/>
    <col min="14603" max="14603" width="7.375" style="43" customWidth="1"/>
    <col min="14604" max="14604" width="9" style="43"/>
    <col min="14605" max="14605" width="9.25" style="43" customWidth="1"/>
    <col min="14606" max="14606" width="3.5" style="43" customWidth="1"/>
    <col min="14607" max="14608" width="12.625" style="43" customWidth="1"/>
    <col min="14609" max="14609" width="9" style="43"/>
    <col min="14610" max="14610" width="7.75" style="43" customWidth="1"/>
    <col min="14611" max="14611" width="13.125" style="43" customWidth="1"/>
    <col min="14612" max="14612" width="6.125" style="43" customWidth="1"/>
    <col min="14613" max="14613" width="9.75" style="43" customWidth="1"/>
    <col min="14614" max="14614" width="1.375" style="43" customWidth="1"/>
    <col min="14615" max="14854" width="9" style="43"/>
    <col min="14855" max="14855" width="1.375" style="43" customWidth="1"/>
    <col min="14856" max="14856" width="3.5" style="43" customWidth="1"/>
    <col min="14857" max="14857" width="22.125" style="43" customWidth="1"/>
    <col min="14858" max="14858" width="9.75" style="43" customWidth="1"/>
    <col min="14859" max="14859" width="7.375" style="43" customWidth="1"/>
    <col min="14860" max="14860" width="9" style="43"/>
    <col min="14861" max="14861" width="9.25" style="43" customWidth="1"/>
    <col min="14862" max="14862" width="3.5" style="43" customWidth="1"/>
    <col min="14863" max="14864" width="12.625" style="43" customWidth="1"/>
    <col min="14865" max="14865" width="9" style="43"/>
    <col min="14866" max="14866" width="7.75" style="43" customWidth="1"/>
    <col min="14867" max="14867" width="13.125" style="43" customWidth="1"/>
    <col min="14868" max="14868" width="6.125" style="43" customWidth="1"/>
    <col min="14869" max="14869" width="9.75" style="43" customWidth="1"/>
    <col min="14870" max="14870" width="1.375" style="43" customWidth="1"/>
    <col min="14871" max="15110" width="9" style="43"/>
    <col min="15111" max="15111" width="1.375" style="43" customWidth="1"/>
    <col min="15112" max="15112" width="3.5" style="43" customWidth="1"/>
    <col min="15113" max="15113" width="22.125" style="43" customWidth="1"/>
    <col min="15114" max="15114" width="9.75" style="43" customWidth="1"/>
    <col min="15115" max="15115" width="7.375" style="43" customWidth="1"/>
    <col min="15116" max="15116" width="9" style="43"/>
    <col min="15117" max="15117" width="9.25" style="43" customWidth="1"/>
    <col min="15118" max="15118" width="3.5" style="43" customWidth="1"/>
    <col min="15119" max="15120" width="12.625" style="43" customWidth="1"/>
    <col min="15121" max="15121" width="9" style="43"/>
    <col min="15122" max="15122" width="7.75" style="43" customWidth="1"/>
    <col min="15123" max="15123" width="13.125" style="43" customWidth="1"/>
    <col min="15124" max="15124" width="6.125" style="43" customWidth="1"/>
    <col min="15125" max="15125" width="9.75" style="43" customWidth="1"/>
    <col min="15126" max="15126" width="1.375" style="43" customWidth="1"/>
    <col min="15127" max="15366" width="9" style="43"/>
    <col min="15367" max="15367" width="1.375" style="43" customWidth="1"/>
    <col min="15368" max="15368" width="3.5" style="43" customWidth="1"/>
    <col min="15369" max="15369" width="22.125" style="43" customWidth="1"/>
    <col min="15370" max="15370" width="9.75" style="43" customWidth="1"/>
    <col min="15371" max="15371" width="7.375" style="43" customWidth="1"/>
    <col min="15372" max="15372" width="9" style="43"/>
    <col min="15373" max="15373" width="9.25" style="43" customWidth="1"/>
    <col min="15374" max="15374" width="3.5" style="43" customWidth="1"/>
    <col min="15375" max="15376" width="12.625" style="43" customWidth="1"/>
    <col min="15377" max="15377" width="9" style="43"/>
    <col min="15378" max="15378" width="7.75" style="43" customWidth="1"/>
    <col min="15379" max="15379" width="13.125" style="43" customWidth="1"/>
    <col min="15380" max="15380" width="6.125" style="43" customWidth="1"/>
    <col min="15381" max="15381" width="9.75" style="43" customWidth="1"/>
    <col min="15382" max="15382" width="1.375" style="43" customWidth="1"/>
    <col min="15383" max="15622" width="9" style="43"/>
    <col min="15623" max="15623" width="1.375" style="43" customWidth="1"/>
    <col min="15624" max="15624" width="3.5" style="43" customWidth="1"/>
    <col min="15625" max="15625" width="22.125" style="43" customWidth="1"/>
    <col min="15626" max="15626" width="9.75" style="43" customWidth="1"/>
    <col min="15627" max="15627" width="7.375" style="43" customWidth="1"/>
    <col min="15628" max="15628" width="9" style="43"/>
    <col min="15629" max="15629" width="9.25" style="43" customWidth="1"/>
    <col min="15630" max="15630" width="3.5" style="43" customWidth="1"/>
    <col min="15631" max="15632" width="12.625" style="43" customWidth="1"/>
    <col min="15633" max="15633" width="9" style="43"/>
    <col min="15634" max="15634" width="7.75" style="43" customWidth="1"/>
    <col min="15635" max="15635" width="13.125" style="43" customWidth="1"/>
    <col min="15636" max="15636" width="6.125" style="43" customWidth="1"/>
    <col min="15637" max="15637" width="9.75" style="43" customWidth="1"/>
    <col min="15638" max="15638" width="1.375" style="43" customWidth="1"/>
    <col min="15639" max="15878" width="9" style="43"/>
    <col min="15879" max="15879" width="1.375" style="43" customWidth="1"/>
    <col min="15880" max="15880" width="3.5" style="43" customWidth="1"/>
    <col min="15881" max="15881" width="22.125" style="43" customWidth="1"/>
    <col min="15882" max="15882" width="9.75" style="43" customWidth="1"/>
    <col min="15883" max="15883" width="7.375" style="43" customWidth="1"/>
    <col min="15884" max="15884" width="9" style="43"/>
    <col min="15885" max="15885" width="9.25" style="43" customWidth="1"/>
    <col min="15886" max="15886" width="3.5" style="43" customWidth="1"/>
    <col min="15887" max="15888" width="12.625" style="43" customWidth="1"/>
    <col min="15889" max="15889" width="9" style="43"/>
    <col min="15890" max="15890" width="7.75" style="43" customWidth="1"/>
    <col min="15891" max="15891" width="13.125" style="43" customWidth="1"/>
    <col min="15892" max="15892" width="6.125" style="43" customWidth="1"/>
    <col min="15893" max="15893" width="9.75" style="43" customWidth="1"/>
    <col min="15894" max="15894" width="1.375" style="43" customWidth="1"/>
    <col min="15895" max="16134" width="9" style="43"/>
    <col min="16135" max="16135" width="1.375" style="43" customWidth="1"/>
    <col min="16136" max="16136" width="3.5" style="43" customWidth="1"/>
    <col min="16137" max="16137" width="22.125" style="43" customWidth="1"/>
    <col min="16138" max="16138" width="9.75" style="43" customWidth="1"/>
    <col min="16139" max="16139" width="7.375" style="43" customWidth="1"/>
    <col min="16140" max="16140" width="9" style="43"/>
    <col min="16141" max="16141" width="9.25" style="43" customWidth="1"/>
    <col min="16142" max="16142" width="3.5" style="43" customWidth="1"/>
    <col min="16143" max="16144" width="12.625" style="43" customWidth="1"/>
    <col min="16145" max="16145" width="9" style="43"/>
    <col min="16146" max="16146" width="7.75" style="43" customWidth="1"/>
    <col min="16147" max="16147" width="13.125" style="43" customWidth="1"/>
    <col min="16148" max="16148" width="6.125" style="43" customWidth="1"/>
    <col min="16149" max="16149" width="9.75" style="43" customWidth="1"/>
    <col min="16150" max="16150" width="1.375" style="43" customWidth="1"/>
    <col min="16151" max="16384" width="9" style="43"/>
  </cols>
  <sheetData>
    <row r="2" spans="2:23" x14ac:dyDescent="0.15">
      <c r="B2" s="43" t="s">
        <v>417</v>
      </c>
      <c r="C2" s="45"/>
      <c r="D2" s="4"/>
      <c r="E2" s="4"/>
      <c r="F2" s="45"/>
      <c r="G2" s="100"/>
      <c r="H2" s="110"/>
      <c r="I2" s="100"/>
      <c r="J2" s="100"/>
      <c r="K2" s="100"/>
      <c r="L2" s="100"/>
      <c r="M2" s="100"/>
      <c r="N2" s="100"/>
      <c r="O2" s="4"/>
    </row>
    <row r="3" spans="2:23" ht="14.25" thickBot="1" x14ac:dyDescent="0.2">
      <c r="B3" s="43" t="s">
        <v>205</v>
      </c>
      <c r="I3" s="4" t="s">
        <v>206</v>
      </c>
      <c r="P3" s="43" t="s">
        <v>227</v>
      </c>
    </row>
    <row r="4" spans="2:23" ht="13.5" customHeight="1" x14ac:dyDescent="0.15">
      <c r="B4" s="357" t="s">
        <v>91</v>
      </c>
      <c r="C4" s="358" t="s">
        <v>167</v>
      </c>
      <c r="D4" s="358" t="s">
        <v>146</v>
      </c>
      <c r="E4" s="358" t="s">
        <v>147</v>
      </c>
      <c r="F4" s="359" t="s">
        <v>24</v>
      </c>
      <c r="G4" s="360" t="s">
        <v>148</v>
      </c>
      <c r="H4" s="145"/>
      <c r="I4" s="1191" t="s">
        <v>91</v>
      </c>
      <c r="J4" s="1189" t="s">
        <v>171</v>
      </c>
      <c r="K4" s="361" t="s">
        <v>393</v>
      </c>
      <c r="L4" s="361" t="s">
        <v>149</v>
      </c>
      <c r="M4" s="1185" t="s">
        <v>24</v>
      </c>
      <c r="N4" s="1187" t="s">
        <v>148</v>
      </c>
      <c r="O4" s="163"/>
      <c r="P4" s="362" t="s">
        <v>174</v>
      </c>
      <c r="Q4" s="363" t="s">
        <v>175</v>
      </c>
      <c r="R4" s="363" t="s">
        <v>176</v>
      </c>
      <c r="S4" s="363" t="s">
        <v>394</v>
      </c>
      <c r="T4" s="1193" t="s">
        <v>177</v>
      </c>
      <c r="U4" s="1075"/>
      <c r="V4" s="364" t="s">
        <v>178</v>
      </c>
    </row>
    <row r="5" spans="2:23" ht="13.5" customHeight="1" x14ac:dyDescent="0.15">
      <c r="B5" s="1025" t="s">
        <v>162</v>
      </c>
      <c r="C5" s="392"/>
      <c r="D5" s="389"/>
      <c r="E5" s="390"/>
      <c r="F5" s="392"/>
      <c r="G5" s="134"/>
      <c r="H5" s="146"/>
      <c r="I5" s="1224"/>
      <c r="J5" s="1225"/>
      <c r="K5" s="393" t="s">
        <v>150</v>
      </c>
      <c r="L5" s="393" t="s">
        <v>258</v>
      </c>
      <c r="M5" s="1226"/>
      <c r="N5" s="1227"/>
      <c r="O5" s="163"/>
      <c r="P5" s="588" t="s">
        <v>395</v>
      </c>
      <c r="Q5" s="578"/>
      <c r="R5" s="589" t="s">
        <v>396</v>
      </c>
      <c r="S5" s="578"/>
      <c r="T5" s="1194" t="s">
        <v>397</v>
      </c>
      <c r="U5" s="1195"/>
      <c r="V5" s="590">
        <v>5806.666666666667</v>
      </c>
      <c r="W5" s="667" t="s">
        <v>398</v>
      </c>
    </row>
    <row r="6" spans="2:23" ht="13.5" customHeight="1" x14ac:dyDescent="0.15">
      <c r="B6" s="985"/>
      <c r="C6" s="389"/>
      <c r="D6" s="389"/>
      <c r="E6" s="390"/>
      <c r="F6" s="389"/>
      <c r="G6" s="391"/>
      <c r="H6" s="146"/>
      <c r="I6" s="1223" t="s">
        <v>170</v>
      </c>
      <c r="J6" s="389" t="s">
        <v>702</v>
      </c>
      <c r="K6" s="394">
        <v>8.36</v>
      </c>
      <c r="L6" s="394">
        <v>13</v>
      </c>
      <c r="M6" s="394">
        <v>84.7</v>
      </c>
      <c r="N6" s="395">
        <f>K6*L6*M6</f>
        <v>9205.1959999999999</v>
      </c>
      <c r="O6" s="163"/>
      <c r="P6" s="588"/>
      <c r="Q6" s="578"/>
      <c r="R6" s="589"/>
      <c r="S6" s="578"/>
      <c r="T6" s="1194"/>
      <c r="U6" s="1195"/>
      <c r="V6" s="590"/>
    </row>
    <row r="7" spans="2:23" ht="14.25" thickBot="1" x14ac:dyDescent="0.2">
      <c r="B7" s="1198"/>
      <c r="C7" s="136" t="s">
        <v>151</v>
      </c>
      <c r="D7" s="136"/>
      <c r="E7" s="136"/>
      <c r="F7" s="136"/>
      <c r="G7" s="137">
        <f>SUM(G5:G6)</f>
        <v>0</v>
      </c>
      <c r="H7" s="146"/>
      <c r="I7" s="1163"/>
      <c r="J7" s="389" t="s">
        <v>703</v>
      </c>
      <c r="K7" s="396">
        <v>2.62</v>
      </c>
      <c r="L7" s="394">
        <f>5+6.5</f>
        <v>11.5</v>
      </c>
      <c r="M7" s="394">
        <v>84.7</v>
      </c>
      <c r="N7" s="395">
        <f t="shared" ref="N7:N9" si="0">K7*L7*M7</f>
        <v>2552.0110000000004</v>
      </c>
      <c r="O7" s="163"/>
      <c r="P7" s="235"/>
      <c r="Q7" s="133"/>
      <c r="R7" s="577"/>
      <c r="S7" s="133"/>
      <c r="T7" s="1169"/>
      <c r="U7" s="1170"/>
      <c r="V7" s="156"/>
    </row>
    <row r="8" spans="2:23" ht="14.25" customHeight="1" thickTop="1" x14ac:dyDescent="0.15">
      <c r="B8" s="1196" t="s">
        <v>160</v>
      </c>
      <c r="C8" s="389" t="s">
        <v>780</v>
      </c>
      <c r="D8" s="389">
        <v>10</v>
      </c>
      <c r="E8" s="390" t="s">
        <v>399</v>
      </c>
      <c r="F8" s="389">
        <v>3840</v>
      </c>
      <c r="G8" s="391">
        <f>D8*F8</f>
        <v>38400</v>
      </c>
      <c r="H8" s="146"/>
      <c r="I8" s="1163"/>
      <c r="J8" s="389" t="s">
        <v>704</v>
      </c>
      <c r="K8" s="394">
        <v>1.2</v>
      </c>
      <c r="L8" s="394">
        <v>3</v>
      </c>
      <c r="M8" s="394">
        <v>84.7</v>
      </c>
      <c r="N8" s="395">
        <f t="shared" si="0"/>
        <v>304.91999999999996</v>
      </c>
      <c r="O8" s="163"/>
      <c r="P8" s="235"/>
      <c r="Q8" s="133"/>
      <c r="R8" s="577"/>
      <c r="S8" s="133"/>
      <c r="T8" s="1169"/>
      <c r="U8" s="1170"/>
      <c r="V8" s="156"/>
    </row>
    <row r="9" spans="2:23" x14ac:dyDescent="0.15">
      <c r="B9" s="985"/>
      <c r="C9" s="389"/>
      <c r="D9" s="389"/>
      <c r="E9" s="390"/>
      <c r="F9" s="389"/>
      <c r="G9" s="391"/>
      <c r="H9" s="146"/>
      <c r="I9" s="1163"/>
      <c r="J9" s="365" t="s">
        <v>705</v>
      </c>
      <c r="K9" s="366">
        <v>4.2699999999999996</v>
      </c>
      <c r="L9" s="367">
        <v>5</v>
      </c>
      <c r="M9" s="394">
        <v>84.7</v>
      </c>
      <c r="N9" s="368">
        <f t="shared" si="0"/>
        <v>1808.3449999999998</v>
      </c>
      <c r="O9" s="163"/>
      <c r="P9" s="235"/>
      <c r="Q9" s="133"/>
      <c r="R9" s="577"/>
      <c r="S9" s="133"/>
      <c r="T9" s="1169"/>
      <c r="U9" s="1170"/>
      <c r="V9" s="156"/>
    </row>
    <row r="10" spans="2:23" x14ac:dyDescent="0.15">
      <c r="B10" s="985"/>
      <c r="C10" s="389"/>
      <c r="D10" s="389"/>
      <c r="E10" s="390"/>
      <c r="F10" s="389"/>
      <c r="G10" s="391"/>
      <c r="H10" s="146"/>
      <c r="I10" s="1163"/>
      <c r="J10" s="369" t="s">
        <v>706</v>
      </c>
      <c r="K10" s="370">
        <v>0.62</v>
      </c>
      <c r="L10" s="370">
        <v>3.5</v>
      </c>
      <c r="M10" s="394">
        <v>84.7</v>
      </c>
      <c r="N10" s="371">
        <f t="shared" ref="N10" si="1">K10*L10*M10</f>
        <v>183.79900000000001</v>
      </c>
      <c r="O10" s="163"/>
      <c r="P10" s="235"/>
      <c r="Q10" s="133"/>
      <c r="R10" s="577"/>
      <c r="S10" s="133"/>
      <c r="T10" s="579"/>
      <c r="U10" s="580"/>
      <c r="V10" s="156"/>
    </row>
    <row r="11" spans="2:23" ht="14.25" thickBot="1" x14ac:dyDescent="0.2">
      <c r="B11" s="1198"/>
      <c r="C11" s="138" t="s">
        <v>152</v>
      </c>
      <c r="D11" s="139"/>
      <c r="E11" s="139"/>
      <c r="F11" s="139"/>
      <c r="G11" s="140">
        <f>SUM(G8:G10)</f>
        <v>38400</v>
      </c>
      <c r="H11" s="146"/>
      <c r="I11" s="1163"/>
      <c r="J11" s="369"/>
      <c r="K11" s="370"/>
      <c r="L11" s="370"/>
      <c r="M11" s="394"/>
      <c r="N11" s="371"/>
      <c r="O11" s="163"/>
      <c r="P11" s="235"/>
      <c r="Q11" s="133"/>
      <c r="R11" s="577"/>
      <c r="S11" s="133"/>
      <c r="T11" s="1169"/>
      <c r="U11" s="1170"/>
      <c r="V11" s="156"/>
    </row>
    <row r="12" spans="2:23" ht="15" customHeight="1" thickTop="1" thickBot="1" x14ac:dyDescent="0.2">
      <c r="B12" s="1196" t="s">
        <v>161</v>
      </c>
      <c r="C12" s="389" t="s">
        <v>763</v>
      </c>
      <c r="D12" s="389">
        <v>550</v>
      </c>
      <c r="E12" s="390" t="s">
        <v>403</v>
      </c>
      <c r="F12" s="389">
        <f>3710/20</f>
        <v>185.5</v>
      </c>
      <c r="G12" s="391">
        <f>D12*F12</f>
        <v>102025</v>
      </c>
      <c r="H12" s="146"/>
      <c r="I12" s="1164"/>
      <c r="J12" s="372" t="s">
        <v>402</v>
      </c>
      <c r="K12" s="373">
        <f>SUM(K6:K9)</f>
        <v>16.45</v>
      </c>
      <c r="L12" s="373">
        <f>SUM(L6:L11)</f>
        <v>36</v>
      </c>
      <c r="M12" s="373"/>
      <c r="N12" s="374">
        <f>SUM(N6:N11)</f>
        <v>14054.271000000001</v>
      </c>
      <c r="O12" s="163"/>
      <c r="P12" s="235"/>
      <c r="Q12" s="133"/>
      <c r="R12" s="577"/>
      <c r="S12" s="133"/>
      <c r="T12" s="1169"/>
      <c r="U12" s="1170"/>
      <c r="V12" s="156"/>
    </row>
    <row r="13" spans="2:23" ht="14.25" customHeight="1" thickTop="1" x14ac:dyDescent="0.15">
      <c r="B13" s="985"/>
      <c r="C13" s="389"/>
      <c r="D13" s="389"/>
      <c r="E13" s="390"/>
      <c r="F13" s="389"/>
      <c r="G13" s="391"/>
      <c r="H13" s="146"/>
      <c r="I13" s="1162" t="s">
        <v>404</v>
      </c>
      <c r="J13" s="389" t="s">
        <v>707</v>
      </c>
      <c r="K13" s="394">
        <v>2.78</v>
      </c>
      <c r="L13" s="394">
        <v>3.3</v>
      </c>
      <c r="M13" s="394">
        <v>158.4</v>
      </c>
      <c r="N13" s="395">
        <f>K13*L13*M13</f>
        <v>1453.1615999999999</v>
      </c>
      <c r="O13" s="163"/>
      <c r="P13" s="235"/>
      <c r="Q13" s="133"/>
      <c r="R13" s="577"/>
      <c r="S13" s="133"/>
      <c r="T13" s="1169"/>
      <c r="U13" s="1170"/>
      <c r="V13" s="156"/>
    </row>
    <row r="14" spans="2:23" x14ac:dyDescent="0.15">
      <c r="B14" s="985"/>
      <c r="C14" s="389"/>
      <c r="D14" s="389"/>
      <c r="E14" s="390"/>
      <c r="F14" s="389"/>
      <c r="G14" s="391"/>
      <c r="H14" s="146"/>
      <c r="I14" s="1163"/>
      <c r="J14" s="389"/>
      <c r="K14" s="394"/>
      <c r="L14" s="394"/>
      <c r="M14" s="394"/>
      <c r="N14" s="395"/>
      <c r="O14" s="163"/>
      <c r="P14" s="235"/>
      <c r="Q14" s="133"/>
      <c r="R14" s="577"/>
      <c r="S14" s="133"/>
      <c r="T14" s="1169"/>
      <c r="U14" s="1170"/>
      <c r="V14" s="156"/>
    </row>
    <row r="15" spans="2:23" x14ac:dyDescent="0.15">
      <c r="B15" s="985"/>
      <c r="C15" s="389"/>
      <c r="D15" s="389"/>
      <c r="E15" s="389"/>
      <c r="F15" s="389"/>
      <c r="G15" s="391"/>
      <c r="H15" s="146"/>
      <c r="I15" s="1163"/>
      <c r="J15" s="389"/>
      <c r="K15" s="394"/>
      <c r="L15" s="394"/>
      <c r="M15" s="394"/>
      <c r="N15" s="395"/>
      <c r="O15" s="163"/>
      <c r="P15" s="235"/>
      <c r="Q15" s="133"/>
      <c r="R15" s="577"/>
      <c r="S15" s="133"/>
      <c r="T15" s="1169"/>
      <c r="U15" s="1170"/>
      <c r="V15" s="156"/>
    </row>
    <row r="16" spans="2:23" ht="14.25" thickBot="1" x14ac:dyDescent="0.2">
      <c r="B16" s="1198"/>
      <c r="C16" s="138" t="s">
        <v>152</v>
      </c>
      <c r="D16" s="139"/>
      <c r="E16" s="139"/>
      <c r="F16" s="139"/>
      <c r="G16" s="140">
        <f>SUM(G12:G15)</f>
        <v>102025</v>
      </c>
      <c r="H16" s="146"/>
      <c r="I16" s="1164"/>
      <c r="J16" s="236" t="s">
        <v>418</v>
      </c>
      <c r="K16" s="150">
        <f>SUM(K13:K15)</f>
        <v>2.78</v>
      </c>
      <c r="L16" s="150">
        <f>SUM(L13:L15)</f>
        <v>3.3</v>
      </c>
      <c r="M16" s="150"/>
      <c r="N16" s="375">
        <f>SUM(N13:N15)</f>
        <v>1453.1615999999999</v>
      </c>
      <c r="O16" s="163"/>
      <c r="P16" s="235"/>
      <c r="Q16" s="133"/>
      <c r="R16" s="577"/>
      <c r="S16" s="133"/>
      <c r="T16" s="1169"/>
      <c r="U16" s="1170"/>
      <c r="V16" s="156"/>
    </row>
    <row r="17" spans="2:22" ht="14.25" customHeight="1" thickTop="1" x14ac:dyDescent="0.15">
      <c r="B17" s="1196" t="s">
        <v>163</v>
      </c>
      <c r="C17" s="389"/>
      <c r="D17" s="389"/>
      <c r="E17" s="390"/>
      <c r="F17" s="389"/>
      <c r="G17" s="391"/>
      <c r="H17" s="146"/>
      <c r="I17" s="1162" t="s">
        <v>172</v>
      </c>
      <c r="J17" s="389"/>
      <c r="K17" s="394">
        <v>0</v>
      </c>
      <c r="L17" s="394"/>
      <c r="M17" s="394"/>
      <c r="N17" s="395"/>
      <c r="O17" s="163"/>
      <c r="P17" s="235"/>
      <c r="Q17" s="133"/>
      <c r="R17" s="577"/>
      <c r="S17" s="133"/>
      <c r="T17" s="1169"/>
      <c r="U17" s="1170"/>
      <c r="V17" s="156"/>
    </row>
    <row r="18" spans="2:22" x14ac:dyDescent="0.15">
      <c r="B18" s="985"/>
      <c r="C18" s="389"/>
      <c r="D18" s="389"/>
      <c r="E18" s="390"/>
      <c r="F18" s="389"/>
      <c r="G18" s="391"/>
      <c r="H18" s="146"/>
      <c r="I18" s="1163"/>
      <c r="J18" s="389"/>
      <c r="K18" s="394"/>
      <c r="L18" s="394"/>
      <c r="M18" s="394"/>
      <c r="N18" s="395"/>
      <c r="O18" s="163"/>
      <c r="P18" s="235"/>
      <c r="Q18" s="133"/>
      <c r="R18" s="577"/>
      <c r="S18" s="133"/>
      <c r="T18" s="1169"/>
      <c r="U18" s="1170"/>
      <c r="V18" s="156"/>
    </row>
    <row r="19" spans="2:22" x14ac:dyDescent="0.15">
      <c r="B19" s="985"/>
      <c r="C19" s="389"/>
      <c r="D19" s="389"/>
      <c r="E19" s="389"/>
      <c r="F19" s="389"/>
      <c r="G19" s="391"/>
      <c r="H19" s="146"/>
      <c r="I19" s="1163"/>
      <c r="J19" s="389"/>
      <c r="K19" s="394"/>
      <c r="L19" s="394"/>
      <c r="M19" s="394"/>
      <c r="N19" s="395"/>
      <c r="O19" s="163"/>
      <c r="P19" s="235"/>
      <c r="Q19" s="133"/>
      <c r="R19" s="577"/>
      <c r="S19" s="133"/>
      <c r="T19" s="1169"/>
      <c r="U19" s="1170"/>
      <c r="V19" s="156"/>
    </row>
    <row r="20" spans="2:22" ht="14.25" thickBot="1" x14ac:dyDescent="0.2">
      <c r="B20" s="1198"/>
      <c r="C20" s="138" t="s">
        <v>152</v>
      </c>
      <c r="D20" s="139"/>
      <c r="E20" s="139"/>
      <c r="F20" s="139"/>
      <c r="G20" s="140">
        <f>SUM(G17:G19)</f>
        <v>0</v>
      </c>
      <c r="H20" s="146"/>
      <c r="I20" s="1164"/>
      <c r="J20" s="236" t="s">
        <v>405</v>
      </c>
      <c r="K20" s="150">
        <f>SUM(K17:K19)</f>
        <v>0</v>
      </c>
      <c r="L20" s="151">
        <f>SUM(L17:L19)</f>
        <v>0</v>
      </c>
      <c r="M20" s="152"/>
      <c r="N20" s="375">
        <f>SUM(N17:N19)</f>
        <v>0</v>
      </c>
      <c r="O20" s="163"/>
      <c r="P20" s="235"/>
      <c r="Q20" s="133"/>
      <c r="R20" s="577"/>
      <c r="S20" s="133"/>
      <c r="T20" s="1169"/>
      <c r="U20" s="1170"/>
      <c r="V20" s="156"/>
    </row>
    <row r="21" spans="2:22" ht="15" customHeight="1" thickTop="1" thickBot="1" x14ac:dyDescent="0.2">
      <c r="B21" s="1196" t="s">
        <v>164</v>
      </c>
      <c r="C21" s="389" t="s">
        <v>406</v>
      </c>
      <c r="D21" s="389">
        <f>131*4.3</f>
        <v>563.29999999999995</v>
      </c>
      <c r="E21" s="390" t="s">
        <v>401</v>
      </c>
      <c r="F21" s="389">
        <f>510/20</f>
        <v>25.5</v>
      </c>
      <c r="G21" s="391">
        <f>D21*F21</f>
        <v>14364.15</v>
      </c>
      <c r="H21" s="146"/>
      <c r="I21" s="1162" t="s">
        <v>173</v>
      </c>
      <c r="J21" s="389" t="s">
        <v>708</v>
      </c>
      <c r="K21" s="394">
        <v>28.2</v>
      </c>
      <c r="L21" s="394">
        <v>6.1</v>
      </c>
      <c r="M21" s="394">
        <v>102.1</v>
      </c>
      <c r="N21" s="395">
        <f>K21*L21*M21</f>
        <v>17563.241999999998</v>
      </c>
      <c r="O21" s="163"/>
      <c r="P21" s="291" t="s">
        <v>29</v>
      </c>
      <c r="Q21" s="247"/>
      <c r="R21" s="247"/>
      <c r="S21" s="247"/>
      <c r="T21" s="1222"/>
      <c r="U21" s="1206"/>
      <c r="V21" s="292">
        <f>SUM(V5:V20)</f>
        <v>5806.666666666667</v>
      </c>
    </row>
    <row r="22" spans="2:22" x14ac:dyDescent="0.15">
      <c r="B22" s="985"/>
      <c r="C22" s="389"/>
      <c r="D22" s="389"/>
      <c r="E22" s="390"/>
      <c r="F22" s="389"/>
      <c r="G22" s="391"/>
      <c r="H22" s="146"/>
      <c r="I22" s="1163"/>
      <c r="J22" s="389"/>
      <c r="K22" s="394"/>
      <c r="L22" s="394"/>
      <c r="M22" s="394"/>
      <c r="N22" s="395"/>
      <c r="O22" s="163"/>
    </row>
    <row r="23" spans="2:22" ht="14.25" thickBot="1" x14ac:dyDescent="0.2">
      <c r="B23" s="985"/>
      <c r="C23" s="389"/>
      <c r="D23" s="389"/>
      <c r="E23" s="390"/>
      <c r="F23" s="389"/>
      <c r="G23" s="391"/>
      <c r="H23" s="146"/>
      <c r="I23" s="1163"/>
      <c r="J23" s="389"/>
      <c r="K23" s="394"/>
      <c r="L23" s="394"/>
      <c r="M23" s="394"/>
      <c r="N23" s="395"/>
      <c r="O23" s="163"/>
      <c r="P23" s="43" t="s">
        <v>228</v>
      </c>
    </row>
    <row r="24" spans="2:22" ht="14.25" thickBot="1" x14ac:dyDescent="0.2">
      <c r="B24" s="1197"/>
      <c r="C24" s="141" t="s">
        <v>154</v>
      </c>
      <c r="D24" s="142"/>
      <c r="E24" s="142"/>
      <c r="F24" s="148"/>
      <c r="G24" s="143">
        <f>SUM(G21:G23)</f>
        <v>14364.15</v>
      </c>
      <c r="H24" s="146"/>
      <c r="I24" s="1164"/>
      <c r="J24" s="236" t="s">
        <v>407</v>
      </c>
      <c r="K24" s="150">
        <f>SUM(K21:K23)</f>
        <v>28.2</v>
      </c>
      <c r="L24" s="151">
        <f>SUM(L21:L23)</f>
        <v>6.1</v>
      </c>
      <c r="M24" s="152"/>
      <c r="N24" s="375">
        <f>SUM(N21:N23)</f>
        <v>17563.241999999998</v>
      </c>
      <c r="O24" s="163"/>
      <c r="P24" s="362" t="s">
        <v>180</v>
      </c>
      <c r="Q24" s="363" t="s">
        <v>175</v>
      </c>
      <c r="R24" s="363" t="s">
        <v>176</v>
      </c>
      <c r="S24" s="363" t="s">
        <v>394</v>
      </c>
      <c r="T24" s="363" t="s">
        <v>177</v>
      </c>
      <c r="U24" s="583" t="s">
        <v>181</v>
      </c>
      <c r="V24" s="364" t="s">
        <v>178</v>
      </c>
    </row>
    <row r="25" spans="2:22" ht="14.25" customHeight="1" thickTop="1" x14ac:dyDescent="0.15">
      <c r="I25" s="1162" t="s">
        <v>245</v>
      </c>
      <c r="J25" s="389"/>
      <c r="K25" s="394"/>
      <c r="L25" s="394"/>
      <c r="M25" s="394"/>
      <c r="N25" s="395"/>
      <c r="O25" s="163"/>
      <c r="P25" s="235" t="s">
        <v>408</v>
      </c>
      <c r="Q25" s="133">
        <v>10</v>
      </c>
      <c r="R25" s="577" t="s">
        <v>409</v>
      </c>
      <c r="S25" s="578">
        <v>500</v>
      </c>
      <c r="T25" s="133">
        <v>2</v>
      </c>
      <c r="U25" s="263">
        <v>27</v>
      </c>
      <c r="V25" s="156">
        <f>Q25*S25/T25/U25</f>
        <v>92.592592592592595</v>
      </c>
    </row>
    <row r="26" spans="2:22" ht="14.25" thickBot="1" x14ac:dyDescent="0.2">
      <c r="B26" s="4" t="s">
        <v>420</v>
      </c>
      <c r="C26" s="4"/>
      <c r="D26" s="45"/>
      <c r="E26" s="4"/>
      <c r="F26" s="45"/>
      <c r="G26" s="47"/>
      <c r="H26" s="147"/>
      <c r="I26" s="1163"/>
      <c r="J26" s="389"/>
      <c r="K26" s="394"/>
      <c r="L26" s="394"/>
      <c r="M26" s="394"/>
      <c r="N26" s="395"/>
      <c r="O26" s="163"/>
      <c r="P26" s="235"/>
      <c r="Q26" s="133"/>
      <c r="R26" s="577"/>
      <c r="S26" s="133"/>
      <c r="T26" s="133"/>
      <c r="U26" s="263"/>
      <c r="V26" s="156"/>
    </row>
    <row r="27" spans="2:22" x14ac:dyDescent="0.15">
      <c r="B27" s="357" t="s">
        <v>91</v>
      </c>
      <c r="C27" s="358" t="s">
        <v>145</v>
      </c>
      <c r="D27" s="358" t="s">
        <v>146</v>
      </c>
      <c r="E27" s="358" t="s">
        <v>147</v>
      </c>
      <c r="F27" s="359" t="s">
        <v>24</v>
      </c>
      <c r="G27" s="360" t="s">
        <v>148</v>
      </c>
      <c r="H27" s="145"/>
      <c r="I27" s="1163"/>
      <c r="J27" s="389"/>
      <c r="K27" s="394"/>
      <c r="L27" s="394"/>
      <c r="M27" s="394"/>
      <c r="N27" s="395"/>
      <c r="O27" s="163"/>
      <c r="P27" s="235"/>
      <c r="Q27" s="133"/>
      <c r="R27" s="577"/>
      <c r="S27" s="133"/>
      <c r="T27" s="133"/>
      <c r="U27" s="263"/>
      <c r="V27" s="156"/>
    </row>
    <row r="28" spans="2:22" ht="14.25" customHeight="1" thickBot="1" x14ac:dyDescent="0.2">
      <c r="B28" s="1025" t="s">
        <v>30</v>
      </c>
      <c r="C28" s="389" t="s">
        <v>781</v>
      </c>
      <c r="D28" s="389">
        <v>300</v>
      </c>
      <c r="E28" s="390" t="s">
        <v>410</v>
      </c>
      <c r="F28" s="389">
        <f>62610/10000</f>
        <v>6.2610000000000001</v>
      </c>
      <c r="G28" s="134">
        <f>D28*F28</f>
        <v>1878.3</v>
      </c>
      <c r="H28" s="146"/>
      <c r="I28" s="1164"/>
      <c r="J28" s="236" t="s">
        <v>402</v>
      </c>
      <c r="K28" s="150">
        <f>SUM(K25:K27)</f>
        <v>0</v>
      </c>
      <c r="L28" s="151">
        <f>SUM(L25:L27)</f>
        <v>0</v>
      </c>
      <c r="M28" s="152"/>
      <c r="N28" s="375">
        <f>SUM(N25:N27)</f>
        <v>0</v>
      </c>
      <c r="O28" s="163"/>
      <c r="P28" s="235"/>
      <c r="Q28" s="133"/>
      <c r="R28" s="577"/>
      <c r="S28" s="133"/>
      <c r="T28" s="133"/>
      <c r="U28" s="263"/>
      <c r="V28" s="156"/>
    </row>
    <row r="29" spans="2:22" ht="14.25" customHeight="1" thickTop="1" x14ac:dyDescent="0.15">
      <c r="B29" s="985"/>
      <c r="C29" s="725" t="s">
        <v>782</v>
      </c>
      <c r="D29" s="389">
        <v>180</v>
      </c>
      <c r="E29" s="390" t="s">
        <v>411</v>
      </c>
      <c r="F29" s="389">
        <f>4180/500</f>
        <v>8.36</v>
      </c>
      <c r="G29" s="134">
        <f>D29*F29</f>
        <v>1504.8</v>
      </c>
      <c r="H29" s="146"/>
      <c r="I29" s="1162" t="s">
        <v>169</v>
      </c>
      <c r="J29" s="389" t="s">
        <v>708</v>
      </c>
      <c r="K29" s="394">
        <v>31.4</v>
      </c>
      <c r="L29" s="394">
        <v>3.2</v>
      </c>
      <c r="M29" s="394">
        <v>14</v>
      </c>
      <c r="N29" s="395">
        <f>K29*L29*M29</f>
        <v>1406.72</v>
      </c>
      <c r="O29" s="163"/>
      <c r="P29" s="235"/>
      <c r="Q29" s="133"/>
      <c r="R29" s="577"/>
      <c r="S29" s="133"/>
      <c r="T29" s="133"/>
      <c r="U29" s="263"/>
      <c r="V29" s="156"/>
    </row>
    <row r="30" spans="2:22" x14ac:dyDescent="0.15">
      <c r="B30" s="985"/>
      <c r="C30" s="389" t="s">
        <v>30</v>
      </c>
      <c r="D30" s="389">
        <v>1000</v>
      </c>
      <c r="E30" s="390" t="s">
        <v>412</v>
      </c>
      <c r="F30" s="389">
        <f>42580/20000</f>
        <v>2.129</v>
      </c>
      <c r="G30" s="134">
        <f>D30*F30</f>
        <v>2129</v>
      </c>
      <c r="H30" s="146"/>
      <c r="I30" s="1163"/>
      <c r="J30" s="389" t="s">
        <v>709</v>
      </c>
      <c r="K30" s="394">
        <v>4</v>
      </c>
      <c r="L30" s="394">
        <v>1.9</v>
      </c>
      <c r="M30" s="394">
        <v>14</v>
      </c>
      <c r="N30" s="395">
        <f t="shared" ref="N30:N31" si="2">K30*L30*M30</f>
        <v>106.39999999999999</v>
      </c>
      <c r="O30" s="44"/>
      <c r="P30" s="235"/>
      <c r="Q30" s="133"/>
      <c r="R30" s="577"/>
      <c r="S30" s="133"/>
      <c r="T30" s="133"/>
      <c r="U30" s="263"/>
      <c r="V30" s="156"/>
    </row>
    <row r="31" spans="2:22" x14ac:dyDescent="0.15">
      <c r="B31" s="985"/>
      <c r="C31" s="376"/>
      <c r="D31" s="389"/>
      <c r="E31" s="390"/>
      <c r="F31" s="389"/>
      <c r="G31" s="391"/>
      <c r="H31" s="146"/>
      <c r="I31" s="1163"/>
      <c r="J31" s="389" t="s">
        <v>710</v>
      </c>
      <c r="K31" s="394">
        <v>24.5</v>
      </c>
      <c r="L31" s="394">
        <v>6.7</v>
      </c>
      <c r="M31" s="394">
        <v>14</v>
      </c>
      <c r="N31" s="395">
        <f t="shared" si="2"/>
        <v>2298.1</v>
      </c>
      <c r="P31" s="235"/>
      <c r="Q31" s="133"/>
      <c r="R31" s="577"/>
      <c r="S31" s="133"/>
      <c r="T31" s="133"/>
      <c r="U31" s="263"/>
      <c r="V31" s="156"/>
    </row>
    <row r="32" spans="2:22" ht="14.25" thickBot="1" x14ac:dyDescent="0.2">
      <c r="B32" s="985"/>
      <c r="C32" s="389"/>
      <c r="D32" s="389"/>
      <c r="E32" s="390"/>
      <c r="F32" s="389"/>
      <c r="G32" s="391"/>
      <c r="H32" s="146"/>
      <c r="I32" s="1165"/>
      <c r="J32" s="377" t="s">
        <v>402</v>
      </c>
      <c r="K32" s="378">
        <f>SUM(K29:K31)</f>
        <v>59.9</v>
      </c>
      <c r="L32" s="379">
        <f>SUM(L29:L31)</f>
        <v>11.8</v>
      </c>
      <c r="M32" s="380"/>
      <c r="N32" s="381">
        <f>SUM(N29:N31)</f>
        <v>3811.2200000000003</v>
      </c>
      <c r="P32" s="235"/>
      <c r="Q32" s="133"/>
      <c r="R32" s="577"/>
      <c r="S32" s="133"/>
      <c r="T32" s="133"/>
      <c r="U32" s="263"/>
      <c r="V32" s="156"/>
    </row>
    <row r="33" spans="2:22" x14ac:dyDescent="0.15">
      <c r="B33" s="985"/>
      <c r="C33" s="389"/>
      <c r="D33" s="389"/>
      <c r="E33" s="390"/>
      <c r="F33" s="389"/>
      <c r="G33" s="391"/>
      <c r="H33" s="146"/>
      <c r="I33" s="128"/>
      <c r="J33" s="128"/>
      <c r="K33" s="128"/>
      <c r="L33" s="128"/>
      <c r="M33" s="128"/>
      <c r="N33" s="128"/>
      <c r="P33" s="235"/>
      <c r="Q33" s="133"/>
      <c r="R33" s="577"/>
      <c r="S33" s="133"/>
      <c r="T33" s="133"/>
      <c r="U33" s="263"/>
      <c r="V33" s="156"/>
    </row>
    <row r="34" spans="2:22" ht="14.25" thickBot="1" x14ac:dyDescent="0.2">
      <c r="B34" s="985"/>
      <c r="C34" s="389"/>
      <c r="D34" s="389"/>
      <c r="E34" s="390"/>
      <c r="F34" s="389"/>
      <c r="G34" s="391"/>
      <c r="H34" s="146"/>
      <c r="I34" s="118" t="s">
        <v>226</v>
      </c>
      <c r="J34" s="118"/>
      <c r="K34" s="118"/>
      <c r="L34" s="118"/>
      <c r="M34" s="118"/>
      <c r="P34" s="581" t="s">
        <v>219</v>
      </c>
      <c r="Q34" s="247"/>
      <c r="R34" s="247"/>
      <c r="S34" s="247"/>
      <c r="T34" s="247"/>
      <c r="U34" s="157"/>
      <c r="V34" s="292">
        <f>SUM(V25:V33)</f>
        <v>92.592592592592595</v>
      </c>
    </row>
    <row r="35" spans="2:22" x14ac:dyDescent="0.15">
      <c r="B35" s="985"/>
      <c r="C35" s="389"/>
      <c r="D35" s="389"/>
      <c r="E35" s="390"/>
      <c r="F35" s="389"/>
      <c r="G35" s="391"/>
      <c r="H35" s="146"/>
      <c r="I35" s="221" t="s">
        <v>214</v>
      </c>
      <c r="J35" s="298" t="s">
        <v>5</v>
      </c>
      <c r="K35" s="1182" t="s">
        <v>215</v>
      </c>
      <c r="L35" s="1183"/>
      <c r="M35" s="385" t="s">
        <v>181</v>
      </c>
      <c r="N35" s="300" t="s">
        <v>413</v>
      </c>
    </row>
    <row r="36" spans="2:22" ht="14.25" customHeight="1" thickBot="1" x14ac:dyDescent="0.2">
      <c r="B36" s="985"/>
      <c r="C36" s="389"/>
      <c r="D36" s="389"/>
      <c r="E36" s="390"/>
      <c r="F36" s="389"/>
      <c r="G36" s="391"/>
      <c r="H36" s="146"/>
      <c r="I36" s="1166" t="s">
        <v>2</v>
      </c>
      <c r="J36" s="144" t="s">
        <v>612</v>
      </c>
      <c r="K36" s="1184">
        <v>5940000</v>
      </c>
      <c r="L36" s="1184"/>
      <c r="M36" s="582">
        <v>27</v>
      </c>
      <c r="N36" s="229">
        <f>+K36/M36*0.014*0.3</f>
        <v>924</v>
      </c>
      <c r="P36" s="118" t="s">
        <v>220</v>
      </c>
      <c r="Q36" s="118"/>
      <c r="R36" s="118"/>
      <c r="S36" s="118"/>
      <c r="T36" s="118"/>
    </row>
    <row r="37" spans="2:22" x14ac:dyDescent="0.15">
      <c r="B37" s="985"/>
      <c r="C37" s="389"/>
      <c r="D37" s="389"/>
      <c r="E37" s="390"/>
      <c r="F37" s="389"/>
      <c r="G37" s="391"/>
      <c r="H37" s="146"/>
      <c r="I37" s="1167"/>
      <c r="J37" s="144" t="s">
        <v>613</v>
      </c>
      <c r="K37" s="1184">
        <v>10692000</v>
      </c>
      <c r="L37" s="1184"/>
      <c r="M37" s="582">
        <v>27</v>
      </c>
      <c r="N37" s="229">
        <f>+K37/M37*0.014*0.3</f>
        <v>1663.2</v>
      </c>
      <c r="P37" s="221" t="s">
        <v>212</v>
      </c>
      <c r="Q37" s="1182" t="s">
        <v>221</v>
      </c>
      <c r="R37" s="1183"/>
      <c r="S37" s="614" t="s">
        <v>224</v>
      </c>
      <c r="T37" s="614" t="s">
        <v>223</v>
      </c>
      <c r="U37" s="238" t="s">
        <v>181</v>
      </c>
      <c r="V37" s="239" t="s">
        <v>231</v>
      </c>
    </row>
    <row r="38" spans="2:22" ht="14.25" thickBot="1" x14ac:dyDescent="0.2">
      <c r="B38" s="1198"/>
      <c r="C38" s="136" t="s">
        <v>151</v>
      </c>
      <c r="D38" s="136"/>
      <c r="E38" s="136"/>
      <c r="F38" s="136"/>
      <c r="G38" s="137">
        <f>SUM(G28:G37)</f>
        <v>5512.1</v>
      </c>
      <c r="H38" s="146"/>
      <c r="I38" s="1167"/>
      <c r="J38" s="144" t="s">
        <v>614</v>
      </c>
      <c r="K38" s="1184">
        <v>1761750</v>
      </c>
      <c r="L38" s="1184"/>
      <c r="M38" s="582">
        <v>27</v>
      </c>
      <c r="N38" s="229">
        <f>+K38/M38*0.014*0.3</f>
        <v>274.05</v>
      </c>
      <c r="O38" s="154"/>
      <c r="P38" s="1179" t="s">
        <v>222</v>
      </c>
      <c r="Q38" s="225" t="s">
        <v>211</v>
      </c>
      <c r="R38" s="242"/>
      <c r="S38" s="226">
        <v>3880</v>
      </c>
      <c r="T38" s="243">
        <v>1</v>
      </c>
      <c r="U38" s="226">
        <v>27</v>
      </c>
      <c r="V38" s="229">
        <v>3880</v>
      </c>
    </row>
    <row r="39" spans="2:22" ht="14.25" customHeight="1" thickTop="1" x14ac:dyDescent="0.15">
      <c r="B39" s="1196" t="s">
        <v>165</v>
      </c>
      <c r="C39" s="726" t="s">
        <v>783</v>
      </c>
      <c r="D39" s="389">
        <v>60</v>
      </c>
      <c r="E39" s="390" t="s">
        <v>412</v>
      </c>
      <c r="F39" s="389">
        <f>1450/500</f>
        <v>2.9</v>
      </c>
      <c r="G39" s="391">
        <f>D39*F39</f>
        <v>174</v>
      </c>
      <c r="H39" s="146"/>
      <c r="I39" s="1167"/>
      <c r="J39" s="144"/>
      <c r="K39" s="1228"/>
      <c r="L39" s="1229"/>
      <c r="M39" s="582"/>
      <c r="N39" s="229"/>
      <c r="O39" s="154"/>
      <c r="P39" s="1177"/>
      <c r="Q39" s="225"/>
      <c r="R39" s="242"/>
      <c r="S39" s="226"/>
      <c r="T39" s="243"/>
      <c r="U39" s="226"/>
      <c r="V39" s="229"/>
    </row>
    <row r="40" spans="2:22" x14ac:dyDescent="0.15">
      <c r="B40" s="985"/>
      <c r="C40" s="389" t="s">
        <v>448</v>
      </c>
      <c r="D40" s="389">
        <v>1000</v>
      </c>
      <c r="E40" s="390" t="s">
        <v>412</v>
      </c>
      <c r="F40" s="389">
        <f>96020/20000</f>
        <v>4.8010000000000002</v>
      </c>
      <c r="G40" s="391">
        <f>D40*F40</f>
        <v>4801</v>
      </c>
      <c r="H40" s="146"/>
      <c r="I40" s="1167"/>
      <c r="J40" s="144"/>
      <c r="K40" s="1228"/>
      <c r="L40" s="1229"/>
      <c r="M40" s="582"/>
      <c r="N40" s="229"/>
      <c r="O40" s="154"/>
      <c r="P40" s="1177"/>
      <c r="Q40" s="225"/>
      <c r="R40" s="242"/>
      <c r="S40" s="226"/>
      <c r="T40" s="243"/>
      <c r="U40" s="226"/>
      <c r="V40" s="229"/>
    </row>
    <row r="41" spans="2:22" x14ac:dyDescent="0.15">
      <c r="B41" s="985"/>
      <c r="C41" s="389"/>
      <c r="D41" s="389"/>
      <c r="E41" s="390"/>
      <c r="F41" s="389"/>
      <c r="G41" s="391"/>
      <c r="H41" s="146"/>
      <c r="I41" s="1167"/>
      <c r="J41" s="144"/>
      <c r="K41" s="1228"/>
      <c r="L41" s="1229"/>
      <c r="M41" s="582"/>
      <c r="N41" s="229"/>
      <c r="O41" s="154"/>
      <c r="P41" s="1177"/>
      <c r="Q41" s="225"/>
      <c r="R41" s="242"/>
      <c r="S41" s="226"/>
      <c r="T41" s="243"/>
      <c r="U41" s="226"/>
      <c r="V41" s="229"/>
    </row>
    <row r="42" spans="2:22" ht="14.25" thickBot="1" x14ac:dyDescent="0.2">
      <c r="B42" s="985"/>
      <c r="C42" s="389"/>
      <c r="D42" s="389"/>
      <c r="E42" s="390"/>
      <c r="F42" s="389"/>
      <c r="G42" s="391"/>
      <c r="H42" s="146"/>
      <c r="I42" s="1168"/>
      <c r="J42" s="222" t="s">
        <v>152</v>
      </c>
      <c r="K42" s="1232"/>
      <c r="L42" s="1233"/>
      <c r="M42" s="223"/>
      <c r="N42" s="228">
        <f>SUM(N36:N41)</f>
        <v>2861.25</v>
      </c>
      <c r="O42" s="154"/>
      <c r="P42" s="1177"/>
      <c r="Q42" s="225"/>
      <c r="R42" s="242"/>
      <c r="S42" s="226"/>
      <c r="T42" s="243"/>
      <c r="U42" s="226"/>
      <c r="V42" s="229"/>
    </row>
    <row r="43" spans="2:22" ht="14.25" customHeight="1" thickTop="1" x14ac:dyDescent="0.15">
      <c r="B43" s="985"/>
      <c r="C43" s="389"/>
      <c r="D43" s="389"/>
      <c r="E43" s="390"/>
      <c r="F43" s="389"/>
      <c r="G43" s="391"/>
      <c r="H43" s="146"/>
      <c r="I43" s="1234" t="s">
        <v>216</v>
      </c>
      <c r="J43" s="224" t="s">
        <v>414</v>
      </c>
      <c r="K43" s="1235">
        <v>8200</v>
      </c>
      <c r="L43" s="1236"/>
      <c r="M43" s="584">
        <v>27</v>
      </c>
      <c r="N43" s="241">
        <f>+K43/M43</f>
        <v>303.7037037037037</v>
      </c>
      <c r="O43" s="154"/>
      <c r="P43" s="1177"/>
      <c r="Q43" s="225"/>
      <c r="R43" s="242"/>
      <c r="S43" s="226"/>
      <c r="T43" s="243"/>
      <c r="U43" s="226"/>
      <c r="V43" s="229"/>
    </row>
    <row r="44" spans="2:22" ht="14.25" thickBot="1" x14ac:dyDescent="0.2">
      <c r="B44" s="985"/>
      <c r="C44" s="389"/>
      <c r="D44" s="389"/>
      <c r="E44" s="390"/>
      <c r="F44" s="389"/>
      <c r="G44" s="391"/>
      <c r="H44" s="146"/>
      <c r="I44" s="1167"/>
      <c r="J44" s="225" t="s">
        <v>229</v>
      </c>
      <c r="K44" s="1228">
        <v>4100</v>
      </c>
      <c r="L44" s="1229"/>
      <c r="M44" s="582">
        <v>30</v>
      </c>
      <c r="N44" s="229">
        <f>K44/M44</f>
        <v>136.66666666666666</v>
      </c>
      <c r="O44" s="154"/>
      <c r="P44" s="1180"/>
      <c r="Q44" s="230" t="s">
        <v>225</v>
      </c>
      <c r="R44" s="231"/>
      <c r="S44" s="231"/>
      <c r="T44" s="231"/>
      <c r="U44" s="231"/>
      <c r="V44" s="232">
        <f>SUM(V38:V43)</f>
        <v>3880</v>
      </c>
    </row>
    <row r="45" spans="2:22" ht="14.25" thickTop="1" x14ac:dyDescent="0.15">
      <c r="B45" s="985"/>
      <c r="C45" s="389"/>
      <c r="D45" s="389"/>
      <c r="E45" s="390"/>
      <c r="F45" s="389"/>
      <c r="G45" s="391"/>
      <c r="H45" s="146"/>
      <c r="I45" s="1167"/>
      <c r="J45" s="144"/>
      <c r="K45" s="1228"/>
      <c r="L45" s="1229"/>
      <c r="M45" s="582"/>
      <c r="N45" s="229"/>
      <c r="O45" s="154"/>
      <c r="P45" s="1176" t="s">
        <v>230</v>
      </c>
      <c r="Q45" s="1173" t="s">
        <v>233</v>
      </c>
      <c r="R45" s="591" t="s">
        <v>234</v>
      </c>
      <c r="S45" s="224">
        <v>35750</v>
      </c>
      <c r="T45" s="244">
        <v>1</v>
      </c>
      <c r="U45" s="224">
        <v>27</v>
      </c>
      <c r="V45" s="240">
        <f>+S45*T45/U45</f>
        <v>1324.0740740740741</v>
      </c>
    </row>
    <row r="46" spans="2:22" ht="14.25" thickBot="1" x14ac:dyDescent="0.2">
      <c r="B46" s="985"/>
      <c r="C46" s="389"/>
      <c r="D46" s="389"/>
      <c r="E46" s="390"/>
      <c r="F46" s="389"/>
      <c r="G46" s="391"/>
      <c r="H46" s="146"/>
      <c r="I46" s="1168"/>
      <c r="J46" s="222" t="s">
        <v>152</v>
      </c>
      <c r="K46" s="1232"/>
      <c r="L46" s="1233"/>
      <c r="M46" s="223"/>
      <c r="N46" s="228">
        <f>SUM(N43:N45)</f>
        <v>440.37037037037032</v>
      </c>
      <c r="O46" s="154"/>
      <c r="P46" s="1177"/>
      <c r="Q46" s="1174"/>
      <c r="R46" s="245" t="s">
        <v>229</v>
      </c>
      <c r="S46" s="225">
        <v>15600</v>
      </c>
      <c r="T46" s="243">
        <v>1</v>
      </c>
      <c r="U46" s="225">
        <v>30</v>
      </c>
      <c r="V46" s="229">
        <f>+S46*T46/U46</f>
        <v>520</v>
      </c>
    </row>
    <row r="47" spans="2:22" ht="14.25" customHeight="1" thickTop="1" x14ac:dyDescent="0.15">
      <c r="B47" s="985"/>
      <c r="C47" s="389"/>
      <c r="D47" s="389"/>
      <c r="E47" s="390"/>
      <c r="F47" s="389"/>
      <c r="G47" s="391"/>
      <c r="H47" s="146"/>
      <c r="I47" s="1234" t="s">
        <v>217</v>
      </c>
      <c r="J47" s="224" t="s">
        <v>414</v>
      </c>
      <c r="K47" s="1235">
        <v>11500</v>
      </c>
      <c r="L47" s="1236"/>
      <c r="M47" s="584">
        <v>27</v>
      </c>
      <c r="N47" s="240">
        <f>K47/M47</f>
        <v>425.92592592592592</v>
      </c>
      <c r="O47" s="154"/>
      <c r="P47" s="1177"/>
      <c r="Q47" s="1174"/>
      <c r="R47" s="245"/>
      <c r="S47" s="225"/>
      <c r="T47" s="225"/>
      <c r="U47" s="144"/>
      <c r="V47" s="246"/>
    </row>
    <row r="48" spans="2:22" x14ac:dyDescent="0.15">
      <c r="B48" s="985"/>
      <c r="C48" s="389"/>
      <c r="D48" s="389"/>
      <c r="E48" s="390"/>
      <c r="F48" s="389"/>
      <c r="G48" s="391"/>
      <c r="H48" s="146"/>
      <c r="I48" s="1167"/>
      <c r="J48" s="225"/>
      <c r="K48" s="1228"/>
      <c r="L48" s="1229"/>
      <c r="M48" s="582"/>
      <c r="N48" s="229"/>
      <c r="O48" s="154"/>
      <c r="P48" s="1177"/>
      <c r="Q48" s="1174"/>
      <c r="R48" s="521"/>
      <c r="S48" s="613"/>
      <c r="T48" s="613"/>
      <c r="U48" s="613"/>
      <c r="V48" s="668"/>
    </row>
    <row r="49" spans="2:22" ht="14.25" thickBot="1" x14ac:dyDescent="0.2">
      <c r="B49" s="1198"/>
      <c r="C49" s="138" t="s">
        <v>152</v>
      </c>
      <c r="D49" s="139"/>
      <c r="E49" s="139"/>
      <c r="F49" s="139"/>
      <c r="G49" s="140">
        <f>SUM(G39:G48)</f>
        <v>4975</v>
      </c>
      <c r="H49" s="146"/>
      <c r="I49" s="1167"/>
      <c r="J49" s="144"/>
      <c r="K49" s="1228"/>
      <c r="L49" s="1229"/>
      <c r="M49" s="582"/>
      <c r="N49" s="229"/>
      <c r="O49" s="154"/>
      <c r="P49" s="1177"/>
      <c r="Q49" s="1175"/>
      <c r="R49" s="245"/>
      <c r="S49" s="225"/>
      <c r="T49" s="225"/>
      <c r="U49" s="144"/>
      <c r="V49" s="246"/>
    </row>
    <row r="50" spans="2:22" ht="15" customHeight="1" thickTop="1" thickBot="1" x14ac:dyDescent="0.2">
      <c r="B50" s="1196" t="s">
        <v>32</v>
      </c>
      <c r="C50" s="382" t="s">
        <v>784</v>
      </c>
      <c r="D50" s="382">
        <v>10</v>
      </c>
      <c r="E50" s="383" t="s">
        <v>401</v>
      </c>
      <c r="F50" s="382">
        <f>24330/10</f>
        <v>2433</v>
      </c>
      <c r="G50" s="384">
        <f t="shared" ref="G50" si="3">D50*F50</f>
        <v>24330</v>
      </c>
      <c r="H50" s="146"/>
      <c r="I50" s="1168"/>
      <c r="J50" s="222" t="s">
        <v>152</v>
      </c>
      <c r="K50" s="1232"/>
      <c r="L50" s="1233"/>
      <c r="M50" s="223"/>
      <c r="N50" s="228">
        <f>SUM(N47:N49)</f>
        <v>425.92592592592592</v>
      </c>
      <c r="O50" s="154"/>
      <c r="P50" s="1177"/>
      <c r="Q50" s="230" t="s">
        <v>225</v>
      </c>
      <c r="R50" s="231"/>
      <c r="S50" s="231"/>
      <c r="T50" s="231"/>
      <c r="U50" s="231"/>
      <c r="V50" s="232">
        <f>SUM(V45:V49)</f>
        <v>1844.0740740740741</v>
      </c>
    </row>
    <row r="51" spans="2:22" ht="14.25" customHeight="1" thickTop="1" x14ac:dyDescent="0.15">
      <c r="B51" s="985"/>
      <c r="C51" s="382"/>
      <c r="D51" s="382"/>
      <c r="E51" s="382"/>
      <c r="F51" s="382"/>
      <c r="G51" s="384"/>
      <c r="H51" s="146"/>
      <c r="I51" s="1234" t="s">
        <v>218</v>
      </c>
      <c r="J51" s="224" t="s">
        <v>54</v>
      </c>
      <c r="K51" s="1201">
        <v>2400</v>
      </c>
      <c r="L51" s="1202"/>
      <c r="M51" s="584">
        <v>27</v>
      </c>
      <c r="N51" s="241">
        <f>+K51/M51</f>
        <v>88.888888888888886</v>
      </c>
      <c r="O51" s="154"/>
      <c r="P51" s="1177"/>
      <c r="Q51" s="1173" t="s">
        <v>235</v>
      </c>
      <c r="R51" s="591" t="s">
        <v>234</v>
      </c>
      <c r="S51" s="224">
        <v>60000</v>
      </c>
      <c r="T51" s="244">
        <v>1</v>
      </c>
      <c r="U51" s="224">
        <v>27</v>
      </c>
      <c r="V51" s="240">
        <f>+S51*T51/U51</f>
        <v>2222.2222222222222</v>
      </c>
    </row>
    <row r="52" spans="2:22" x14ac:dyDescent="0.15">
      <c r="B52" s="985"/>
      <c r="C52" s="382"/>
      <c r="D52" s="382"/>
      <c r="E52" s="382"/>
      <c r="F52" s="382"/>
      <c r="G52" s="384"/>
      <c r="H52" s="146"/>
      <c r="I52" s="1167"/>
      <c r="J52" s="225" t="s">
        <v>54</v>
      </c>
      <c r="K52" s="1209">
        <v>2400</v>
      </c>
      <c r="L52" s="1210"/>
      <c r="M52" s="386">
        <v>27</v>
      </c>
      <c r="N52" s="229">
        <f t="shared" ref="N52:N55" si="4">+K52/M52</f>
        <v>88.888888888888886</v>
      </c>
      <c r="O52" s="154"/>
      <c r="P52" s="1177"/>
      <c r="Q52" s="1174"/>
      <c r="R52" s="245" t="s">
        <v>229</v>
      </c>
      <c r="S52" s="225">
        <v>25000</v>
      </c>
      <c r="T52" s="243">
        <v>1</v>
      </c>
      <c r="U52" s="225">
        <v>30</v>
      </c>
      <c r="V52" s="229">
        <f>+S52*T52/U52</f>
        <v>833.33333333333337</v>
      </c>
    </row>
    <row r="53" spans="2:22" ht="14.25" thickBot="1" x14ac:dyDescent="0.2">
      <c r="B53" s="1198"/>
      <c r="C53" s="138" t="s">
        <v>152</v>
      </c>
      <c r="D53" s="139"/>
      <c r="E53" s="139"/>
      <c r="F53" s="139"/>
      <c r="G53" s="140">
        <f>SUM(G50:G52)</f>
        <v>24330</v>
      </c>
      <c r="H53" s="146"/>
      <c r="I53" s="1167"/>
      <c r="J53" s="225" t="s">
        <v>415</v>
      </c>
      <c r="K53" s="1209">
        <v>4800</v>
      </c>
      <c r="L53" s="1210"/>
      <c r="M53" s="234">
        <v>27</v>
      </c>
      <c r="N53" s="229">
        <f>+K53/M53*2</f>
        <v>355.55555555555554</v>
      </c>
      <c r="O53" s="154"/>
      <c r="P53" s="1177"/>
      <c r="Q53" s="1174"/>
      <c r="R53" s="245"/>
      <c r="S53" s="225"/>
      <c r="T53" s="225"/>
      <c r="U53" s="144"/>
      <c r="V53" s="246"/>
    </row>
    <row r="54" spans="2:22" ht="14.25" customHeight="1" thickTop="1" x14ac:dyDescent="0.15">
      <c r="B54" s="1196" t="s">
        <v>416</v>
      </c>
      <c r="C54" s="382" t="s">
        <v>785</v>
      </c>
      <c r="D54" s="387">
        <f>131*50/1000</f>
        <v>6.55</v>
      </c>
      <c r="E54" s="383" t="s">
        <v>401</v>
      </c>
      <c r="F54" s="382">
        <f>9650/3</f>
        <v>3216.6666666666665</v>
      </c>
      <c r="G54" s="134">
        <f>D54*F54</f>
        <v>21069.166666666664</v>
      </c>
      <c r="I54" s="1167"/>
      <c r="J54" s="582" t="s">
        <v>229</v>
      </c>
      <c r="K54" s="1211">
        <v>5000</v>
      </c>
      <c r="L54" s="1212"/>
      <c r="M54" s="397">
        <v>30</v>
      </c>
      <c r="N54" s="229">
        <f>+K54/M54</f>
        <v>166.66666666666666</v>
      </c>
      <c r="O54" s="154"/>
      <c r="P54" s="1177"/>
      <c r="Q54" s="1174"/>
      <c r="R54" s="521"/>
      <c r="S54" s="613"/>
      <c r="T54" s="613"/>
      <c r="U54" s="613"/>
      <c r="V54" s="668"/>
    </row>
    <row r="55" spans="2:22" x14ac:dyDescent="0.15">
      <c r="B55" s="985"/>
      <c r="C55" s="382" t="s">
        <v>786</v>
      </c>
      <c r="D55" s="382">
        <v>1000</v>
      </c>
      <c r="E55" s="383" t="s">
        <v>411</v>
      </c>
      <c r="F55" s="382">
        <f>68710/10000</f>
        <v>6.8710000000000004</v>
      </c>
      <c r="G55" s="391">
        <f>D55*F55</f>
        <v>6871</v>
      </c>
      <c r="I55" s="1167"/>
      <c r="J55" s="225" t="s">
        <v>422</v>
      </c>
      <c r="K55" s="1209">
        <v>5900</v>
      </c>
      <c r="L55" s="1210"/>
      <c r="M55" s="397">
        <v>27</v>
      </c>
      <c r="N55" s="400">
        <f t="shared" si="4"/>
        <v>218.5185185185185</v>
      </c>
      <c r="O55" s="154"/>
      <c r="P55" s="1177"/>
      <c r="Q55" s="1175"/>
      <c r="R55" s="245"/>
      <c r="S55" s="225"/>
      <c r="T55" s="225"/>
      <c r="U55" s="144"/>
      <c r="V55" s="246"/>
    </row>
    <row r="56" spans="2:22" x14ac:dyDescent="0.15">
      <c r="B56" s="985"/>
      <c r="C56" s="401"/>
      <c r="D56" s="401"/>
      <c r="E56" s="402"/>
      <c r="F56" s="401"/>
      <c r="G56" s="403"/>
      <c r="I56" s="1239"/>
      <c r="J56" s="305" t="s">
        <v>152</v>
      </c>
      <c r="K56" s="1230"/>
      <c r="L56" s="1231"/>
      <c r="M56" s="306"/>
      <c r="N56" s="307">
        <f>SUM(N51:N55)</f>
        <v>918.51851851851836</v>
      </c>
      <c r="O56" s="154"/>
      <c r="P56" s="1178"/>
      <c r="Q56" s="249" t="s">
        <v>225</v>
      </c>
      <c r="R56" s="250"/>
      <c r="S56" s="250"/>
      <c r="T56" s="250"/>
      <c r="U56" s="250"/>
      <c r="V56" s="251">
        <f>SUM(V51:V55)</f>
        <v>3055.5555555555557</v>
      </c>
    </row>
    <row r="57" spans="2:22" ht="14.25" thickBot="1" x14ac:dyDescent="0.2">
      <c r="B57" s="1197"/>
      <c r="C57" s="141" t="s">
        <v>154</v>
      </c>
      <c r="D57" s="142"/>
      <c r="E57" s="142"/>
      <c r="F57" s="142"/>
      <c r="G57" s="143">
        <f>SUM(G54:G56)</f>
        <v>27940.166666666664</v>
      </c>
      <c r="I57" s="1205" t="s">
        <v>219</v>
      </c>
      <c r="J57" s="1206"/>
      <c r="K57" s="1207"/>
      <c r="L57" s="1208"/>
      <c r="M57" s="157"/>
      <c r="N57" s="248">
        <f>SUM(N42,N46,N50,N56)</f>
        <v>4646.0648148148148</v>
      </c>
      <c r="O57" s="154"/>
      <c r="P57" s="1237" t="s">
        <v>219</v>
      </c>
      <c r="Q57" s="1238"/>
      <c r="R57" s="669"/>
      <c r="S57" s="669"/>
      <c r="T57" s="669"/>
      <c r="U57" s="669"/>
      <c r="V57" s="670">
        <f>SUM(V44,V50,V56)</f>
        <v>8779.6296296296296</v>
      </c>
    </row>
    <row r="58" spans="2:22" x14ac:dyDescent="0.15">
      <c r="O58" s="154"/>
      <c r="V58" s="43"/>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8:22" x14ac:dyDescent="0.15">
      <c r="H65" s="43"/>
      <c r="I65" s="154"/>
      <c r="J65" s="154"/>
      <c r="K65" s="154"/>
      <c r="L65" s="154"/>
      <c r="M65" s="154"/>
      <c r="N65" s="154"/>
      <c r="O65" s="154"/>
      <c r="P65" s="43"/>
      <c r="R65" s="43"/>
      <c r="V65" s="43"/>
    </row>
    <row r="66" spans="8:22" x14ac:dyDescent="0.15">
      <c r="H66" s="43"/>
      <c r="I66" s="154"/>
      <c r="J66" s="154"/>
      <c r="K66" s="154"/>
      <c r="L66" s="154"/>
      <c r="M66" s="154"/>
      <c r="N66" s="154"/>
      <c r="O66" s="154"/>
      <c r="P66" s="43"/>
      <c r="R66" s="43"/>
      <c r="V66" s="43"/>
    </row>
    <row r="67" spans="8:22" x14ac:dyDescent="0.15">
      <c r="H67" s="43"/>
      <c r="I67" s="154"/>
      <c r="J67" s="154"/>
      <c r="K67" s="154"/>
      <c r="L67" s="154"/>
      <c r="M67" s="154"/>
      <c r="N67" s="154"/>
      <c r="O67" s="154"/>
      <c r="P67" s="43"/>
      <c r="R67" s="43"/>
      <c r="V67" s="43"/>
    </row>
    <row r="68" spans="8:22" x14ac:dyDescent="0.15">
      <c r="H68" s="43"/>
      <c r="I68" s="154"/>
      <c r="J68" s="154"/>
      <c r="K68" s="154"/>
      <c r="L68" s="154"/>
      <c r="M68" s="154"/>
      <c r="N68" s="154"/>
      <c r="O68" s="154"/>
      <c r="P68" s="43"/>
      <c r="R68" s="43"/>
      <c r="V68" s="43"/>
    </row>
    <row r="69" spans="8:22" x14ac:dyDescent="0.15">
      <c r="H69" s="43"/>
      <c r="I69" s="154"/>
      <c r="J69" s="154"/>
      <c r="K69" s="154"/>
      <c r="L69" s="154"/>
      <c r="M69" s="154"/>
      <c r="N69" s="154"/>
      <c r="O69" s="154"/>
      <c r="P69" s="43"/>
      <c r="R69" s="43"/>
      <c r="V69" s="43"/>
    </row>
    <row r="70" spans="8:22" x14ac:dyDescent="0.15">
      <c r="H70" s="43"/>
      <c r="I70" s="154"/>
      <c r="J70" s="154"/>
      <c r="K70" s="154"/>
      <c r="L70" s="154"/>
      <c r="M70" s="154"/>
      <c r="N70" s="154"/>
      <c r="O70" s="154"/>
      <c r="P70" s="43"/>
      <c r="R70" s="43"/>
      <c r="V70" s="43"/>
    </row>
    <row r="71" spans="8:22" x14ac:dyDescent="0.15">
      <c r="H71" s="43"/>
      <c r="I71" s="154"/>
      <c r="J71" s="154"/>
      <c r="K71" s="154"/>
      <c r="L71" s="154"/>
      <c r="M71" s="154"/>
      <c r="N71" s="154"/>
      <c r="O71" s="154"/>
      <c r="P71" s="43"/>
      <c r="R71" s="43"/>
      <c r="V71" s="43"/>
    </row>
    <row r="72" spans="8:22" x14ac:dyDescent="0.15">
      <c r="H72" s="43"/>
      <c r="I72" s="154"/>
      <c r="J72" s="154"/>
      <c r="K72" s="154"/>
      <c r="L72" s="154"/>
      <c r="M72" s="154"/>
      <c r="N72" s="154"/>
      <c r="O72" s="154"/>
      <c r="P72" s="43"/>
      <c r="R72" s="43"/>
      <c r="V72" s="43"/>
    </row>
    <row r="73" spans="8:22" x14ac:dyDescent="0.15">
      <c r="H73" s="43"/>
      <c r="I73" s="154"/>
      <c r="J73" s="154"/>
      <c r="K73" s="154"/>
      <c r="L73" s="154"/>
      <c r="M73" s="154"/>
      <c r="N73" s="154"/>
      <c r="O73" s="154"/>
      <c r="P73" s="43"/>
      <c r="R73" s="43"/>
      <c r="V73" s="43"/>
    </row>
    <row r="74" spans="8:22" x14ac:dyDescent="0.15">
      <c r="H74" s="43"/>
      <c r="I74" s="154"/>
      <c r="J74" s="154"/>
      <c r="K74" s="154"/>
      <c r="L74" s="154"/>
      <c r="M74" s="154"/>
      <c r="N74" s="154"/>
      <c r="O74" s="154"/>
      <c r="P74" s="43"/>
      <c r="R74" s="43"/>
      <c r="V74" s="43"/>
    </row>
    <row r="75" spans="8:22" x14ac:dyDescent="0.15">
      <c r="H75" s="43"/>
      <c r="I75" s="154"/>
      <c r="J75" s="154"/>
      <c r="K75" s="154"/>
      <c r="L75" s="154"/>
      <c r="M75" s="154"/>
      <c r="N75" s="154"/>
      <c r="O75" s="154"/>
      <c r="P75" s="43"/>
      <c r="R75" s="43"/>
      <c r="V75" s="43"/>
    </row>
    <row r="76" spans="8:22" x14ac:dyDescent="0.15">
      <c r="H76" s="43"/>
      <c r="I76" s="154"/>
      <c r="J76" s="154"/>
      <c r="K76" s="154"/>
      <c r="L76" s="154"/>
      <c r="M76" s="154"/>
      <c r="N76" s="154"/>
      <c r="O76" s="154"/>
      <c r="P76" s="43"/>
      <c r="R76" s="43"/>
      <c r="V76" s="43"/>
    </row>
    <row r="77" spans="8:22" x14ac:dyDescent="0.15">
      <c r="H77" s="43"/>
      <c r="I77" s="154"/>
      <c r="J77" s="154"/>
      <c r="K77" s="154"/>
      <c r="L77" s="154"/>
      <c r="M77" s="154"/>
      <c r="N77" s="154"/>
      <c r="O77" s="154"/>
      <c r="P77" s="43"/>
      <c r="R77" s="43"/>
      <c r="V77" s="43"/>
    </row>
    <row r="78" spans="8:22" x14ac:dyDescent="0.15">
      <c r="H78" s="43"/>
      <c r="I78" s="154"/>
      <c r="J78" s="154"/>
      <c r="K78" s="154"/>
      <c r="L78" s="154"/>
      <c r="M78" s="154"/>
      <c r="N78" s="154"/>
      <c r="O78" s="154"/>
      <c r="P78" s="43"/>
      <c r="R78" s="43"/>
      <c r="V78" s="43"/>
    </row>
    <row r="79" spans="8:22" x14ac:dyDescent="0.15">
      <c r="H79" s="43"/>
      <c r="I79" s="154"/>
      <c r="J79" s="154"/>
      <c r="K79" s="154"/>
      <c r="L79" s="154"/>
      <c r="M79" s="154"/>
      <c r="N79" s="154"/>
      <c r="O79" s="154"/>
      <c r="P79" s="43"/>
      <c r="R79" s="43"/>
      <c r="V79" s="43"/>
    </row>
    <row r="80" spans="8:22" x14ac:dyDescent="0.15">
      <c r="H80" s="43"/>
      <c r="I80" s="154"/>
      <c r="J80" s="154"/>
      <c r="K80" s="154"/>
      <c r="L80" s="154"/>
      <c r="M80" s="154"/>
      <c r="N80" s="154"/>
      <c r="O80" s="154"/>
      <c r="P80" s="43"/>
      <c r="R80" s="43"/>
      <c r="V80" s="43"/>
    </row>
    <row r="81" spans="2:22" x14ac:dyDescent="0.15">
      <c r="I81" s="154"/>
      <c r="J81" s="154"/>
      <c r="K81" s="154"/>
      <c r="L81" s="154"/>
      <c r="M81" s="154"/>
      <c r="N81" s="154"/>
      <c r="O81" s="154"/>
      <c r="P81" s="43"/>
      <c r="R81" s="43"/>
      <c r="V81" s="43"/>
    </row>
    <row r="82" spans="2:22" x14ac:dyDescent="0.15">
      <c r="I82" s="154"/>
      <c r="J82" s="154"/>
      <c r="K82" s="154"/>
      <c r="L82" s="154"/>
      <c r="M82" s="154"/>
      <c r="N82" s="154"/>
      <c r="O82" s="154"/>
      <c r="P82" s="43"/>
      <c r="R82" s="43"/>
      <c r="V82" s="43"/>
    </row>
    <row r="83" spans="2:22" x14ac:dyDescent="0.15">
      <c r="B83" s="145"/>
      <c r="C83" s="146"/>
      <c r="D83" s="146"/>
      <c r="E83" s="146"/>
      <c r="F83" s="146"/>
      <c r="I83" s="154"/>
      <c r="J83" s="154"/>
      <c r="K83" s="154"/>
      <c r="L83" s="154"/>
      <c r="M83" s="154"/>
      <c r="N83" s="154"/>
      <c r="O83" s="154"/>
      <c r="P83" s="43"/>
      <c r="R83" s="43"/>
      <c r="V83" s="43"/>
    </row>
    <row r="84" spans="2:22" x14ac:dyDescent="0.15">
      <c r="B84" s="145"/>
      <c r="C84" s="146"/>
      <c r="D84" s="146"/>
      <c r="E84" s="146"/>
      <c r="F84" s="146"/>
      <c r="I84" s="154"/>
      <c r="J84" s="154"/>
      <c r="K84" s="154"/>
      <c r="L84" s="154"/>
      <c r="M84" s="154"/>
      <c r="N84" s="154"/>
      <c r="O84" s="154"/>
      <c r="P84" s="43"/>
      <c r="R84" s="43"/>
      <c r="V84" s="43"/>
    </row>
    <row r="85" spans="2:22" x14ac:dyDescent="0.15">
      <c r="I85" s="154"/>
      <c r="J85" s="154"/>
      <c r="K85" s="154"/>
      <c r="L85" s="154"/>
      <c r="M85" s="154"/>
      <c r="N85" s="154"/>
      <c r="O85" s="154"/>
      <c r="P85" s="43"/>
      <c r="R85" s="43"/>
      <c r="V85" s="43"/>
    </row>
    <row r="86" spans="2:22" x14ac:dyDescent="0.15">
      <c r="I86" s="154"/>
      <c r="J86" s="154"/>
      <c r="K86" s="154"/>
      <c r="L86" s="154"/>
      <c r="M86" s="154"/>
      <c r="N86" s="154"/>
      <c r="O86" s="154"/>
      <c r="P86" s="43"/>
      <c r="R86" s="43"/>
      <c r="V86" s="43"/>
    </row>
    <row r="87" spans="2:22" x14ac:dyDescent="0.15">
      <c r="I87" s="154"/>
      <c r="J87" s="154"/>
      <c r="K87" s="154"/>
      <c r="L87" s="154"/>
      <c r="M87" s="154"/>
      <c r="N87" s="154"/>
      <c r="O87" s="154"/>
      <c r="P87" s="43"/>
      <c r="R87" s="43"/>
      <c r="V87" s="43"/>
    </row>
    <row r="88" spans="2:22" x14ac:dyDescent="0.15">
      <c r="I88" s="154"/>
      <c r="J88" s="154"/>
      <c r="K88" s="154"/>
      <c r="L88" s="154"/>
      <c r="M88" s="154"/>
      <c r="N88" s="154"/>
      <c r="O88" s="154"/>
      <c r="P88" s="43"/>
      <c r="R88" s="43"/>
      <c r="V88" s="43"/>
    </row>
    <row r="89" spans="2:22" x14ac:dyDescent="0.15">
      <c r="I89" s="154"/>
      <c r="J89" s="154"/>
      <c r="K89" s="154"/>
      <c r="L89" s="154"/>
      <c r="M89" s="154"/>
      <c r="N89" s="154"/>
      <c r="O89" s="154"/>
      <c r="P89" s="43"/>
      <c r="R89" s="43"/>
      <c r="V89" s="43"/>
    </row>
    <row r="90" spans="2:22" x14ac:dyDescent="0.15">
      <c r="I90" s="154"/>
      <c r="J90" s="154"/>
      <c r="K90" s="154"/>
      <c r="L90" s="154"/>
      <c r="M90" s="154"/>
      <c r="N90" s="154"/>
      <c r="O90" s="154"/>
      <c r="P90" s="43"/>
      <c r="R90" s="43"/>
      <c r="V90" s="43"/>
    </row>
    <row r="91" spans="2:22" x14ac:dyDescent="0.15">
      <c r="I91" s="154"/>
      <c r="J91" s="154"/>
      <c r="K91" s="154"/>
      <c r="L91" s="154"/>
      <c r="M91" s="154"/>
      <c r="N91" s="154"/>
      <c r="O91" s="154"/>
      <c r="P91" s="43"/>
      <c r="R91" s="43"/>
      <c r="V91" s="43"/>
    </row>
    <row r="92" spans="2:22" x14ac:dyDescent="0.15">
      <c r="I92" s="154"/>
      <c r="J92" s="154"/>
      <c r="K92" s="154"/>
      <c r="L92" s="154"/>
      <c r="M92" s="154"/>
      <c r="N92" s="154"/>
      <c r="O92" s="154"/>
      <c r="P92" s="43"/>
      <c r="R92" s="43"/>
      <c r="V92" s="43"/>
    </row>
    <row r="93" spans="2:22" x14ac:dyDescent="0.15">
      <c r="I93" s="154"/>
      <c r="J93" s="154"/>
      <c r="K93" s="154"/>
      <c r="L93" s="154"/>
      <c r="M93" s="154"/>
      <c r="N93" s="154"/>
      <c r="O93" s="154"/>
      <c r="P93" s="43"/>
      <c r="R93" s="43"/>
      <c r="V93" s="43"/>
    </row>
    <row r="94" spans="2:22" x14ac:dyDescent="0.15">
      <c r="I94" s="154"/>
      <c r="J94" s="154"/>
      <c r="K94" s="154"/>
      <c r="L94" s="154"/>
      <c r="M94" s="154"/>
      <c r="N94" s="154"/>
      <c r="O94" s="154"/>
      <c r="P94" s="43"/>
      <c r="R94" s="43"/>
      <c r="V94" s="43"/>
    </row>
    <row r="95" spans="2:22" x14ac:dyDescent="0.15">
      <c r="I95" s="154"/>
      <c r="J95" s="154"/>
      <c r="K95" s="154"/>
      <c r="L95" s="154"/>
      <c r="M95" s="154"/>
      <c r="N95" s="154"/>
      <c r="O95" s="154"/>
      <c r="P95" s="43"/>
      <c r="R95" s="43"/>
      <c r="V95" s="43"/>
    </row>
    <row r="96" spans="2:22" x14ac:dyDescent="0.15">
      <c r="I96" s="154"/>
      <c r="J96" s="154"/>
      <c r="K96" s="154"/>
      <c r="L96" s="154"/>
      <c r="M96" s="154"/>
      <c r="N96" s="154"/>
      <c r="O96" s="154"/>
      <c r="P96" s="43"/>
      <c r="R96" s="43"/>
      <c r="V96" s="43"/>
    </row>
    <row r="97" spans="8:22" x14ac:dyDescent="0.15">
      <c r="H97" s="43"/>
      <c r="I97" s="154"/>
      <c r="J97" s="154"/>
      <c r="K97" s="154"/>
      <c r="L97" s="154"/>
      <c r="M97" s="154"/>
      <c r="N97" s="154"/>
      <c r="O97" s="154"/>
      <c r="P97" s="43"/>
      <c r="R97" s="43"/>
      <c r="V97" s="43"/>
    </row>
    <row r="98" spans="8:22" x14ac:dyDescent="0.15">
      <c r="H98" s="43"/>
      <c r="I98" s="154"/>
      <c r="J98" s="154"/>
      <c r="K98" s="154"/>
      <c r="L98" s="154"/>
      <c r="M98" s="154"/>
      <c r="N98" s="154"/>
      <c r="O98" s="154"/>
      <c r="P98" s="43"/>
      <c r="R98" s="43"/>
      <c r="V98" s="43"/>
    </row>
    <row r="99" spans="8:22" x14ac:dyDescent="0.15">
      <c r="H99" s="43"/>
      <c r="I99" s="154"/>
      <c r="J99" s="154"/>
      <c r="K99" s="154"/>
      <c r="L99" s="154"/>
      <c r="M99" s="154"/>
      <c r="N99" s="154"/>
      <c r="O99" s="154"/>
      <c r="P99" s="43"/>
      <c r="R99" s="43"/>
      <c r="V99" s="43"/>
    </row>
    <row r="100" spans="8:22" x14ac:dyDescent="0.15">
      <c r="H100" s="43"/>
      <c r="I100" s="154"/>
      <c r="J100" s="154"/>
      <c r="K100" s="154"/>
      <c r="L100" s="154"/>
      <c r="M100" s="154"/>
      <c r="N100" s="154"/>
      <c r="O100" s="154"/>
      <c r="P100" s="43"/>
      <c r="R100" s="43"/>
      <c r="V100" s="43"/>
    </row>
    <row r="101" spans="8:22" x14ac:dyDescent="0.15">
      <c r="H101" s="43"/>
      <c r="I101" s="154"/>
      <c r="J101" s="154"/>
      <c r="K101" s="154"/>
      <c r="L101" s="154"/>
      <c r="M101" s="154"/>
      <c r="N101" s="154"/>
      <c r="O101" s="154"/>
      <c r="P101" s="43"/>
      <c r="R101" s="43"/>
      <c r="V101" s="43"/>
    </row>
    <row r="102" spans="8:22" x14ac:dyDescent="0.15">
      <c r="H102" s="43"/>
      <c r="I102" s="154"/>
      <c r="J102" s="154"/>
      <c r="K102" s="154"/>
      <c r="L102" s="154"/>
      <c r="M102" s="154"/>
      <c r="N102" s="154"/>
      <c r="O102" s="154"/>
      <c r="P102" s="43"/>
      <c r="R102" s="43"/>
      <c r="V102" s="43"/>
    </row>
    <row r="103" spans="8:22" x14ac:dyDescent="0.15">
      <c r="H103" s="43"/>
      <c r="I103" s="154"/>
      <c r="J103" s="154"/>
      <c r="K103" s="154"/>
      <c r="L103" s="154"/>
      <c r="M103" s="154"/>
      <c r="N103" s="154"/>
      <c r="O103" s="154"/>
      <c r="P103" s="43"/>
      <c r="R103" s="43"/>
      <c r="V103" s="43"/>
    </row>
    <row r="104" spans="8:22" x14ac:dyDescent="0.15">
      <c r="H104" s="43"/>
      <c r="I104" s="154"/>
      <c r="J104" s="154"/>
      <c r="K104" s="154"/>
      <c r="L104" s="154"/>
      <c r="M104" s="154"/>
      <c r="N104" s="154"/>
      <c r="O104" s="154"/>
      <c r="P104" s="43"/>
      <c r="R104" s="43"/>
      <c r="V104" s="43"/>
    </row>
    <row r="105" spans="8:22" x14ac:dyDescent="0.15">
      <c r="H105" s="43"/>
      <c r="I105" s="154"/>
      <c r="J105" s="154"/>
      <c r="K105" s="154"/>
      <c r="L105" s="154"/>
      <c r="M105" s="154"/>
      <c r="N105" s="154"/>
      <c r="O105" s="154"/>
      <c r="P105" s="43"/>
      <c r="R105" s="43"/>
      <c r="V105" s="43"/>
    </row>
    <row r="106" spans="8:22" x14ac:dyDescent="0.15">
      <c r="H106" s="43"/>
      <c r="I106" s="154"/>
      <c r="J106" s="154"/>
      <c r="K106" s="154"/>
      <c r="L106" s="154"/>
      <c r="M106" s="154"/>
      <c r="N106" s="154"/>
      <c r="O106" s="154"/>
      <c r="P106" s="43"/>
      <c r="R106" s="43"/>
      <c r="V106" s="43"/>
    </row>
    <row r="107" spans="8:22" x14ac:dyDescent="0.15">
      <c r="H107" s="43"/>
      <c r="I107" s="154"/>
      <c r="J107" s="154"/>
      <c r="K107" s="154"/>
      <c r="L107" s="154"/>
      <c r="M107" s="154"/>
      <c r="N107" s="154"/>
      <c r="O107" s="154"/>
      <c r="P107" s="43"/>
      <c r="R107" s="43"/>
      <c r="V107" s="43"/>
    </row>
    <row r="108" spans="8:22" x14ac:dyDescent="0.15">
      <c r="H108" s="43"/>
      <c r="I108" s="154"/>
      <c r="J108" s="154"/>
      <c r="K108" s="154"/>
      <c r="L108" s="154"/>
      <c r="M108" s="154"/>
      <c r="N108" s="154"/>
      <c r="O108" s="154"/>
      <c r="P108" s="43"/>
      <c r="R108" s="43"/>
      <c r="V108" s="43"/>
    </row>
    <row r="109" spans="8:22" x14ac:dyDescent="0.15">
      <c r="H109" s="43"/>
      <c r="I109" s="154"/>
      <c r="J109" s="154"/>
      <c r="K109" s="154"/>
      <c r="L109" s="154"/>
      <c r="M109" s="154"/>
      <c r="N109" s="154"/>
      <c r="O109" s="154"/>
      <c r="P109" s="43"/>
      <c r="R109" s="43"/>
      <c r="V109" s="43"/>
    </row>
    <row r="110" spans="8:22" x14ac:dyDescent="0.15">
      <c r="H110" s="43"/>
      <c r="I110" s="154"/>
      <c r="J110" s="154"/>
      <c r="K110" s="154"/>
      <c r="L110" s="154"/>
      <c r="M110" s="154"/>
      <c r="N110" s="154"/>
      <c r="O110" s="154"/>
      <c r="P110" s="43"/>
      <c r="R110" s="43"/>
      <c r="V110" s="43"/>
    </row>
    <row r="111" spans="8:22" x14ac:dyDescent="0.15">
      <c r="H111" s="43"/>
      <c r="I111" s="154"/>
      <c r="J111" s="154"/>
      <c r="K111" s="154"/>
      <c r="L111" s="154"/>
      <c r="M111" s="154"/>
      <c r="N111" s="154"/>
      <c r="O111" s="154"/>
      <c r="P111" s="43"/>
      <c r="R111" s="43"/>
      <c r="V111" s="43"/>
    </row>
    <row r="112" spans="8:22" x14ac:dyDescent="0.15">
      <c r="H112" s="43"/>
      <c r="I112" s="154"/>
      <c r="J112" s="154"/>
      <c r="K112" s="154"/>
      <c r="L112" s="154"/>
      <c r="M112" s="154"/>
      <c r="N112" s="154"/>
      <c r="O112" s="154"/>
      <c r="P112" s="43"/>
      <c r="R112" s="43"/>
      <c r="V112" s="43"/>
    </row>
    <row r="113" spans="8:22" x14ac:dyDescent="0.15">
      <c r="H113" s="43"/>
      <c r="I113" s="154"/>
      <c r="J113" s="154"/>
      <c r="K113" s="154"/>
      <c r="L113" s="154"/>
      <c r="M113" s="154"/>
      <c r="N113" s="154"/>
      <c r="O113" s="154"/>
      <c r="P113" s="43"/>
      <c r="R113" s="43"/>
      <c r="V113" s="43"/>
    </row>
    <row r="114" spans="8:22" x14ac:dyDescent="0.15">
      <c r="H114" s="43"/>
      <c r="I114" s="154"/>
      <c r="J114" s="154"/>
      <c r="K114" s="154"/>
      <c r="L114" s="154"/>
      <c r="M114" s="154"/>
      <c r="N114" s="154"/>
      <c r="O114" s="154"/>
      <c r="P114" s="43"/>
      <c r="R114" s="43"/>
      <c r="V114" s="43"/>
    </row>
    <row r="115" spans="8:22" x14ac:dyDescent="0.15">
      <c r="H115" s="43"/>
      <c r="I115" s="154"/>
      <c r="J115" s="154"/>
      <c r="K115" s="154"/>
      <c r="L115" s="154"/>
      <c r="M115" s="154"/>
      <c r="N115" s="154"/>
      <c r="O115" s="154"/>
      <c r="P115" s="43"/>
      <c r="R115" s="43"/>
      <c r="V115" s="43"/>
    </row>
    <row r="116" spans="8:22" x14ac:dyDescent="0.15">
      <c r="H116" s="43"/>
      <c r="I116" s="154"/>
      <c r="J116" s="154"/>
      <c r="K116" s="154"/>
      <c r="L116" s="154"/>
      <c r="M116" s="154"/>
      <c r="N116" s="154"/>
      <c r="O116" s="154"/>
      <c r="P116" s="43"/>
      <c r="R116" s="43"/>
      <c r="V116" s="43"/>
    </row>
    <row r="117" spans="8:22" x14ac:dyDescent="0.15">
      <c r="H117" s="43"/>
      <c r="I117" s="154"/>
      <c r="J117" s="154"/>
      <c r="K117" s="154"/>
      <c r="L117" s="154"/>
      <c r="M117" s="154"/>
      <c r="N117" s="154"/>
      <c r="O117" s="154"/>
      <c r="P117" s="43"/>
      <c r="R117" s="43"/>
      <c r="V117" s="43"/>
    </row>
    <row r="118" spans="8:22" x14ac:dyDescent="0.15">
      <c r="H118" s="43"/>
      <c r="I118" s="154"/>
      <c r="J118" s="154"/>
      <c r="K118" s="154"/>
      <c r="L118" s="154"/>
      <c r="M118" s="154"/>
      <c r="N118" s="154"/>
      <c r="O118" s="154"/>
      <c r="P118" s="43"/>
      <c r="R118" s="43"/>
      <c r="V118" s="43"/>
    </row>
    <row r="119" spans="8:22" x14ac:dyDescent="0.15">
      <c r="H119" s="43"/>
      <c r="I119" s="154"/>
      <c r="J119" s="154"/>
      <c r="K119" s="154"/>
      <c r="L119" s="154"/>
      <c r="M119" s="154"/>
      <c r="N119" s="154"/>
      <c r="O119" s="154"/>
      <c r="P119" s="43"/>
      <c r="R119" s="43"/>
      <c r="V119" s="43"/>
    </row>
    <row r="120" spans="8:22" x14ac:dyDescent="0.15">
      <c r="H120" s="43"/>
      <c r="I120" s="154"/>
      <c r="J120" s="154"/>
      <c r="K120" s="154"/>
      <c r="L120" s="154"/>
      <c r="M120" s="154"/>
      <c r="N120" s="154"/>
      <c r="O120" s="154"/>
      <c r="P120" s="43"/>
      <c r="R120" s="43"/>
      <c r="V120" s="43"/>
    </row>
    <row r="121" spans="8:22" x14ac:dyDescent="0.15">
      <c r="H121" s="43"/>
      <c r="I121" s="154"/>
      <c r="J121" s="154"/>
      <c r="K121" s="154"/>
      <c r="L121" s="154"/>
      <c r="M121" s="154"/>
      <c r="N121" s="154"/>
      <c r="O121" s="154"/>
      <c r="P121" s="43"/>
      <c r="R121" s="43"/>
      <c r="V121" s="43"/>
    </row>
    <row r="122" spans="8:22" x14ac:dyDescent="0.15">
      <c r="H122" s="43"/>
      <c r="I122" s="154"/>
      <c r="J122" s="154"/>
      <c r="K122" s="154"/>
      <c r="L122" s="154"/>
      <c r="M122" s="154"/>
      <c r="N122" s="154"/>
      <c r="O122" s="154"/>
      <c r="P122" s="43"/>
      <c r="R122" s="43"/>
      <c r="V122" s="43"/>
    </row>
    <row r="123" spans="8:22" x14ac:dyDescent="0.15">
      <c r="H123" s="43"/>
      <c r="I123" s="154"/>
      <c r="J123" s="154"/>
      <c r="K123" s="154"/>
      <c r="L123" s="154"/>
      <c r="M123" s="154"/>
      <c r="N123" s="154"/>
      <c r="O123" s="154"/>
      <c r="P123" s="43"/>
      <c r="R123" s="43"/>
      <c r="V123" s="43"/>
    </row>
    <row r="124" spans="8:22" x14ac:dyDescent="0.15">
      <c r="H124" s="43"/>
      <c r="I124" s="154"/>
      <c r="J124" s="154"/>
      <c r="K124" s="154"/>
      <c r="L124" s="154"/>
      <c r="M124" s="154"/>
      <c r="N124" s="154"/>
      <c r="O124" s="154"/>
      <c r="P124" s="43"/>
      <c r="R124" s="43"/>
      <c r="V124" s="43"/>
    </row>
    <row r="125" spans="8:22" x14ac:dyDescent="0.15">
      <c r="H125" s="43"/>
      <c r="I125" s="154"/>
      <c r="J125" s="154"/>
      <c r="K125" s="154"/>
      <c r="L125" s="154"/>
      <c r="M125" s="154"/>
      <c r="N125" s="154"/>
      <c r="O125" s="154"/>
      <c r="P125" s="43"/>
      <c r="R125" s="43"/>
      <c r="V125" s="43"/>
    </row>
    <row r="126" spans="8:22" x14ac:dyDescent="0.15">
      <c r="H126" s="43"/>
      <c r="I126" s="154"/>
      <c r="J126" s="154"/>
      <c r="K126" s="154"/>
      <c r="L126" s="154"/>
      <c r="M126" s="154"/>
      <c r="N126" s="154"/>
      <c r="O126" s="154"/>
      <c r="P126" s="43"/>
      <c r="R126" s="43"/>
      <c r="V126" s="43"/>
    </row>
    <row r="127" spans="8:22" x14ac:dyDescent="0.15">
      <c r="H127" s="43"/>
      <c r="I127" s="154"/>
      <c r="J127" s="154"/>
      <c r="K127" s="154"/>
      <c r="L127" s="154"/>
      <c r="M127" s="154"/>
      <c r="N127" s="154"/>
      <c r="O127" s="154"/>
      <c r="P127" s="43"/>
      <c r="R127" s="43"/>
      <c r="V127" s="43"/>
    </row>
    <row r="128" spans="8:22" x14ac:dyDescent="0.15">
      <c r="H128" s="43"/>
      <c r="I128" s="154"/>
      <c r="J128" s="154"/>
      <c r="K128" s="154"/>
      <c r="L128" s="154"/>
      <c r="M128" s="154"/>
      <c r="N128" s="154"/>
      <c r="O128" s="154"/>
      <c r="P128" s="43"/>
      <c r="R128" s="43"/>
      <c r="V128" s="43"/>
    </row>
    <row r="129" spans="8:22" x14ac:dyDescent="0.15">
      <c r="H129" s="43"/>
      <c r="I129" s="154"/>
      <c r="J129" s="154"/>
      <c r="K129" s="154"/>
      <c r="L129" s="154"/>
      <c r="M129" s="154"/>
      <c r="N129" s="154"/>
      <c r="O129" s="154"/>
      <c r="P129" s="43"/>
      <c r="R129" s="43"/>
      <c r="V129" s="43"/>
    </row>
    <row r="130" spans="8:22" x14ac:dyDescent="0.15">
      <c r="H130" s="43"/>
      <c r="I130" s="154"/>
      <c r="J130" s="154"/>
      <c r="K130" s="154"/>
      <c r="L130" s="154"/>
      <c r="M130" s="154"/>
      <c r="N130" s="154"/>
      <c r="O130" s="154"/>
      <c r="P130" s="43"/>
      <c r="R130" s="43"/>
      <c r="V130" s="43"/>
    </row>
    <row r="131" spans="8:22" x14ac:dyDescent="0.15">
      <c r="H131" s="43"/>
      <c r="I131" s="154"/>
      <c r="J131" s="154"/>
      <c r="K131" s="154"/>
      <c r="L131" s="154"/>
      <c r="M131" s="154"/>
      <c r="N131" s="154"/>
      <c r="O131" s="154"/>
      <c r="P131" s="43"/>
      <c r="R131" s="43"/>
      <c r="V131" s="43"/>
    </row>
    <row r="132" spans="8:22" x14ac:dyDescent="0.15">
      <c r="H132" s="43"/>
      <c r="I132" s="154"/>
      <c r="J132" s="154"/>
      <c r="K132" s="154"/>
      <c r="L132" s="154"/>
      <c r="M132" s="154"/>
      <c r="N132" s="154"/>
      <c r="O132" s="154"/>
      <c r="P132" s="43"/>
      <c r="R132" s="43"/>
      <c r="V132" s="43"/>
    </row>
    <row r="133" spans="8:22" x14ac:dyDescent="0.15">
      <c r="H133" s="43"/>
      <c r="I133" s="154"/>
      <c r="J133" s="154"/>
      <c r="K133" s="154"/>
      <c r="L133" s="154"/>
      <c r="M133" s="154"/>
      <c r="N133" s="154"/>
      <c r="O133" s="154"/>
      <c r="P133" s="43"/>
      <c r="R133" s="43"/>
      <c r="V133" s="43"/>
    </row>
    <row r="134" spans="8:22" x14ac:dyDescent="0.15">
      <c r="H134" s="43"/>
      <c r="I134" s="154"/>
      <c r="J134" s="154"/>
      <c r="K134" s="154"/>
      <c r="L134" s="154"/>
      <c r="M134" s="154"/>
      <c r="N134" s="154"/>
      <c r="O134" s="154"/>
      <c r="P134" s="43"/>
      <c r="R134" s="43"/>
      <c r="V134" s="43"/>
    </row>
    <row r="135" spans="8:22" x14ac:dyDescent="0.15">
      <c r="H135" s="43"/>
      <c r="I135" s="154"/>
      <c r="J135" s="154"/>
      <c r="K135" s="154"/>
      <c r="L135" s="154"/>
      <c r="M135" s="154"/>
      <c r="N135" s="154"/>
      <c r="O135" s="154"/>
      <c r="P135" s="43"/>
      <c r="R135" s="43"/>
      <c r="V135" s="43"/>
    </row>
    <row r="136" spans="8:22" x14ac:dyDescent="0.15">
      <c r="H136" s="43"/>
      <c r="I136" s="154"/>
      <c r="J136" s="154"/>
      <c r="K136" s="154"/>
      <c r="L136" s="154"/>
      <c r="M136" s="154"/>
      <c r="N136" s="154"/>
      <c r="O136" s="154"/>
      <c r="P136" s="43"/>
      <c r="R136" s="43"/>
      <c r="V136" s="43"/>
    </row>
    <row r="137" spans="8:22" x14ac:dyDescent="0.15">
      <c r="H137" s="43"/>
      <c r="I137" s="154"/>
      <c r="J137" s="154"/>
      <c r="K137" s="154"/>
      <c r="L137" s="154"/>
      <c r="M137" s="154"/>
      <c r="N137" s="154"/>
      <c r="O137" s="154"/>
      <c r="P137" s="43"/>
      <c r="R137" s="43"/>
      <c r="V137" s="43"/>
    </row>
    <row r="138" spans="8:22" x14ac:dyDescent="0.15">
      <c r="H138" s="43"/>
      <c r="I138" s="154"/>
      <c r="J138" s="154"/>
      <c r="K138" s="154"/>
      <c r="L138" s="154"/>
      <c r="M138" s="154"/>
      <c r="N138" s="154"/>
      <c r="O138" s="154"/>
      <c r="P138" s="43"/>
      <c r="R138" s="43"/>
      <c r="V138" s="43"/>
    </row>
    <row r="139" spans="8:22" x14ac:dyDescent="0.15">
      <c r="H139" s="43"/>
      <c r="I139" s="154"/>
      <c r="J139" s="154"/>
      <c r="K139" s="154"/>
      <c r="L139" s="154"/>
      <c r="M139" s="154"/>
      <c r="N139" s="154"/>
      <c r="O139" s="154"/>
      <c r="P139" s="43"/>
      <c r="R139" s="43"/>
      <c r="V139" s="43"/>
    </row>
    <row r="140" spans="8:22" x14ac:dyDescent="0.15">
      <c r="H140" s="43"/>
      <c r="I140" s="154"/>
      <c r="J140" s="154"/>
      <c r="K140" s="154"/>
      <c r="L140" s="154"/>
      <c r="M140" s="154"/>
      <c r="N140" s="154"/>
      <c r="P140" s="43"/>
      <c r="R140" s="43"/>
      <c r="V140" s="43"/>
    </row>
    <row r="141" spans="8:22" x14ac:dyDescent="0.15">
      <c r="H141" s="43"/>
      <c r="I141" s="154"/>
      <c r="J141" s="154"/>
      <c r="K141" s="154"/>
      <c r="L141" s="154"/>
      <c r="M141" s="154"/>
      <c r="N141" s="154"/>
      <c r="P141" s="43"/>
      <c r="R141" s="43"/>
      <c r="V141" s="43"/>
    </row>
    <row r="142" spans="8:22" x14ac:dyDescent="0.15">
      <c r="H142" s="43"/>
      <c r="I142" s="154"/>
      <c r="J142" s="154"/>
      <c r="K142" s="154"/>
      <c r="L142" s="154"/>
      <c r="M142" s="154"/>
      <c r="N142" s="154"/>
      <c r="P142" s="43"/>
      <c r="R142" s="43"/>
      <c r="V142" s="43"/>
    </row>
    <row r="143" spans="8:22" x14ac:dyDescent="0.15">
      <c r="H143" s="43"/>
      <c r="I143" s="154"/>
      <c r="J143" s="154"/>
      <c r="K143" s="154"/>
      <c r="L143" s="154"/>
      <c r="M143" s="154"/>
      <c r="N143" s="154"/>
      <c r="P143" s="43"/>
      <c r="R143" s="43"/>
      <c r="V143" s="43"/>
    </row>
    <row r="144" spans="8:22" x14ac:dyDescent="0.15">
      <c r="H144" s="43"/>
      <c r="I144" s="154"/>
      <c r="J144" s="154"/>
      <c r="K144" s="154"/>
      <c r="L144" s="154"/>
      <c r="M144" s="154"/>
      <c r="N144" s="154"/>
      <c r="P144" s="43"/>
      <c r="R144" s="43"/>
      <c r="V144" s="43"/>
    </row>
    <row r="145" spans="8:22" x14ac:dyDescent="0.15">
      <c r="H145" s="43"/>
      <c r="I145" s="154"/>
      <c r="J145" s="154"/>
      <c r="K145" s="154"/>
      <c r="L145" s="154"/>
      <c r="M145" s="154"/>
      <c r="N145" s="154"/>
      <c r="P145" s="43"/>
      <c r="R145" s="43"/>
      <c r="V145" s="43"/>
    </row>
    <row r="146" spans="8:22" x14ac:dyDescent="0.15">
      <c r="H146" s="43"/>
      <c r="I146" s="154"/>
      <c r="J146" s="154"/>
      <c r="K146" s="154"/>
      <c r="L146" s="154"/>
      <c r="M146" s="154"/>
      <c r="N146" s="154"/>
      <c r="P146" s="43"/>
      <c r="R146" s="43"/>
      <c r="V146" s="43"/>
    </row>
    <row r="147" spans="8:22" x14ac:dyDescent="0.15">
      <c r="H147" s="43"/>
      <c r="I147" s="154"/>
      <c r="J147" s="154"/>
      <c r="K147" s="154"/>
      <c r="L147" s="154"/>
      <c r="M147" s="154"/>
      <c r="N147" s="154"/>
      <c r="P147" s="43"/>
      <c r="R147" s="43"/>
      <c r="V147" s="43"/>
    </row>
    <row r="148" spans="8:22" x14ac:dyDescent="0.15">
      <c r="H148" s="43"/>
      <c r="I148" s="154"/>
      <c r="J148" s="154"/>
      <c r="K148" s="154"/>
      <c r="L148" s="154"/>
      <c r="M148" s="154"/>
      <c r="N148" s="154"/>
      <c r="P148" s="43"/>
      <c r="R148" s="43"/>
      <c r="V148" s="43"/>
    </row>
    <row r="149" spans="8:22" x14ac:dyDescent="0.15">
      <c r="H149" s="43"/>
      <c r="I149" s="154"/>
      <c r="J149" s="154"/>
      <c r="K149" s="154"/>
      <c r="L149" s="154"/>
      <c r="M149" s="154"/>
      <c r="N149" s="154"/>
      <c r="P149" s="43"/>
      <c r="R149" s="43"/>
      <c r="V149" s="43"/>
    </row>
    <row r="150" spans="8:22" x14ac:dyDescent="0.15">
      <c r="H150" s="43"/>
      <c r="I150" s="154"/>
      <c r="J150" s="154"/>
      <c r="K150" s="154"/>
      <c r="L150" s="154"/>
      <c r="M150" s="154"/>
      <c r="N150" s="154"/>
      <c r="P150" s="43"/>
      <c r="R150" s="43"/>
      <c r="V150" s="43"/>
    </row>
    <row r="151" spans="8:22" x14ac:dyDescent="0.15">
      <c r="H151" s="43"/>
      <c r="I151" s="154"/>
      <c r="J151" s="154"/>
      <c r="K151" s="154"/>
      <c r="L151" s="154"/>
      <c r="M151" s="154"/>
      <c r="N151" s="154"/>
      <c r="P151" s="43"/>
      <c r="R151" s="43"/>
      <c r="V151" s="43"/>
    </row>
    <row r="152" spans="8:22" x14ac:dyDescent="0.15">
      <c r="H152" s="43"/>
      <c r="I152" s="154"/>
      <c r="J152" s="154"/>
      <c r="K152" s="154"/>
      <c r="L152" s="154"/>
      <c r="M152" s="154"/>
      <c r="N152" s="154"/>
      <c r="P152" s="43"/>
      <c r="R152" s="43"/>
      <c r="V152" s="43"/>
    </row>
    <row r="153" spans="8:22" x14ac:dyDescent="0.15">
      <c r="H153" s="43"/>
      <c r="I153" s="154"/>
      <c r="J153" s="154"/>
      <c r="K153" s="154"/>
      <c r="L153" s="154"/>
      <c r="M153" s="154"/>
      <c r="N153" s="154"/>
      <c r="P153" s="43"/>
      <c r="R153" s="43"/>
      <c r="V153" s="43"/>
    </row>
    <row r="154" spans="8:22" x14ac:dyDescent="0.15">
      <c r="H154" s="43"/>
      <c r="I154" s="154"/>
      <c r="J154" s="154"/>
      <c r="K154" s="154"/>
      <c r="L154" s="154"/>
      <c r="M154" s="154"/>
      <c r="N154" s="154"/>
      <c r="P154" s="43"/>
      <c r="R154" s="43"/>
      <c r="V154" s="43"/>
    </row>
    <row r="155" spans="8:22" x14ac:dyDescent="0.15">
      <c r="H155" s="43"/>
      <c r="J155" s="154"/>
      <c r="K155" s="154"/>
      <c r="L155" s="154"/>
      <c r="M155" s="154"/>
      <c r="N155" s="154"/>
      <c r="P155" s="43"/>
      <c r="R155" s="43"/>
      <c r="V155" s="43"/>
    </row>
    <row r="156" spans="8:22" x14ac:dyDescent="0.15">
      <c r="H156" s="43"/>
      <c r="J156" s="154"/>
      <c r="K156" s="154"/>
      <c r="L156" s="154"/>
      <c r="M156" s="154"/>
      <c r="N156" s="154"/>
      <c r="P156" s="43"/>
      <c r="R156" s="43"/>
      <c r="V156" s="43"/>
    </row>
    <row r="173" spans="8:22" x14ac:dyDescent="0.15">
      <c r="H173" s="43"/>
      <c r="O173" s="154"/>
      <c r="P173" s="43"/>
      <c r="R173" s="43"/>
      <c r="V173" s="43"/>
    </row>
    <row r="174" spans="8:22" x14ac:dyDescent="0.15">
      <c r="H174" s="43"/>
      <c r="O174" s="154"/>
      <c r="P174" s="43"/>
      <c r="R174" s="43"/>
      <c r="V174" s="43"/>
    </row>
    <row r="175" spans="8:22" x14ac:dyDescent="0.15">
      <c r="H175" s="43"/>
      <c r="O175" s="154"/>
      <c r="P175" s="43"/>
      <c r="R175" s="43"/>
      <c r="V175" s="43"/>
    </row>
    <row r="176" spans="8:22" x14ac:dyDescent="0.15">
      <c r="H176" s="43"/>
      <c r="O176" s="154"/>
      <c r="P176" s="43"/>
      <c r="R176" s="43"/>
      <c r="V176" s="43"/>
    </row>
    <row r="177" spans="8:22" x14ac:dyDescent="0.15">
      <c r="H177" s="43"/>
      <c r="O177" s="154"/>
      <c r="P177" s="43"/>
      <c r="R177" s="43"/>
      <c r="V177" s="43"/>
    </row>
    <row r="178" spans="8:22" x14ac:dyDescent="0.15">
      <c r="H178" s="43"/>
      <c r="O178" s="154"/>
      <c r="P178" s="43"/>
      <c r="R178" s="43"/>
      <c r="V178" s="43"/>
    </row>
    <row r="179" spans="8:22" x14ac:dyDescent="0.15">
      <c r="H179" s="43"/>
      <c r="O179" s="154"/>
      <c r="P179" s="43"/>
      <c r="R179" s="43"/>
      <c r="V179" s="43"/>
    </row>
    <row r="180" spans="8:22" x14ac:dyDescent="0.15">
      <c r="H180" s="43"/>
      <c r="O180" s="154"/>
      <c r="P180" s="43"/>
      <c r="R180" s="43"/>
      <c r="V180" s="43"/>
    </row>
    <row r="181" spans="8:22" x14ac:dyDescent="0.15">
      <c r="H181" s="43"/>
      <c r="O181" s="154"/>
      <c r="P181" s="43"/>
      <c r="R181" s="43"/>
      <c r="V181" s="43"/>
    </row>
    <row r="182" spans="8:22" x14ac:dyDescent="0.15">
      <c r="H182" s="43"/>
      <c r="O182" s="154"/>
      <c r="P182" s="43"/>
      <c r="R182" s="43"/>
      <c r="V182" s="43"/>
    </row>
    <row r="183" spans="8:22" x14ac:dyDescent="0.15">
      <c r="H183" s="43"/>
      <c r="O183" s="154"/>
      <c r="P183" s="43"/>
      <c r="R183" s="43"/>
      <c r="V183" s="43"/>
    </row>
    <row r="184" spans="8:22" x14ac:dyDescent="0.15">
      <c r="H184" s="43"/>
      <c r="O184" s="154"/>
      <c r="P184" s="43"/>
      <c r="R184" s="43"/>
      <c r="V184" s="43"/>
    </row>
    <row r="185" spans="8:22" x14ac:dyDescent="0.15">
      <c r="H185" s="43"/>
      <c r="O185" s="154"/>
      <c r="P185" s="43"/>
      <c r="R185" s="43"/>
      <c r="V185" s="43"/>
    </row>
    <row r="186" spans="8:22" x14ac:dyDescent="0.15">
      <c r="H186" s="43"/>
      <c r="O186" s="154"/>
      <c r="P186" s="43"/>
      <c r="R186" s="43"/>
      <c r="V186" s="43"/>
    </row>
    <row r="187" spans="8:22" x14ac:dyDescent="0.15">
      <c r="H187" s="43"/>
      <c r="O187" s="154"/>
      <c r="P187" s="43"/>
      <c r="R187" s="43"/>
      <c r="V187" s="43"/>
    </row>
    <row r="188" spans="8:22" x14ac:dyDescent="0.15">
      <c r="H188" s="43"/>
      <c r="O188" s="154"/>
      <c r="P188" s="43"/>
      <c r="R188" s="43"/>
      <c r="V188" s="43"/>
    </row>
    <row r="189" spans="8:22" x14ac:dyDescent="0.15">
      <c r="H189" s="43"/>
      <c r="O189" s="154"/>
      <c r="P189" s="43"/>
      <c r="R189" s="43"/>
      <c r="V189" s="43"/>
    </row>
    <row r="190" spans="8:22" x14ac:dyDescent="0.15">
      <c r="H190" s="43"/>
      <c r="O190" s="154"/>
      <c r="P190" s="43"/>
      <c r="R190" s="43"/>
      <c r="V190" s="43"/>
    </row>
    <row r="191" spans="8:22" x14ac:dyDescent="0.15">
      <c r="H191" s="43"/>
      <c r="O191" s="154"/>
      <c r="P191" s="43"/>
      <c r="R191" s="43"/>
      <c r="V191" s="43"/>
    </row>
    <row r="192" spans="8:22" x14ac:dyDescent="0.15">
      <c r="H192" s="43"/>
      <c r="O192" s="154"/>
      <c r="P192" s="43"/>
      <c r="R192" s="43"/>
      <c r="V192" s="43"/>
    </row>
  </sheetData>
  <mergeCells count="70">
    <mergeCell ref="P57:Q57"/>
    <mergeCell ref="B50:B53"/>
    <mergeCell ref="K50:L50"/>
    <mergeCell ref="I51:I56"/>
    <mergeCell ref="K51:L51"/>
    <mergeCell ref="Q51:Q55"/>
    <mergeCell ref="K52:L52"/>
    <mergeCell ref="K53:L53"/>
    <mergeCell ref="B54:B57"/>
    <mergeCell ref="K54:L54"/>
    <mergeCell ref="K55:L55"/>
    <mergeCell ref="I47:I50"/>
    <mergeCell ref="P45:P56"/>
    <mergeCell ref="Q45:Q49"/>
    <mergeCell ref="K47:L47"/>
    <mergeCell ref="K48:L48"/>
    <mergeCell ref="K49:L49"/>
    <mergeCell ref="K56:L56"/>
    <mergeCell ref="I57:J57"/>
    <mergeCell ref="K57:L57"/>
    <mergeCell ref="K41:L41"/>
    <mergeCell ref="K42:L42"/>
    <mergeCell ref="I43:I46"/>
    <mergeCell ref="K43:L43"/>
    <mergeCell ref="K44:L44"/>
    <mergeCell ref="K45:L45"/>
    <mergeCell ref="K46:L46"/>
    <mergeCell ref="B21:B24"/>
    <mergeCell ref="I21:I24"/>
    <mergeCell ref="T21:U21"/>
    <mergeCell ref="I25:I28"/>
    <mergeCell ref="B28:B38"/>
    <mergeCell ref="I29:I32"/>
    <mergeCell ref="K35:L35"/>
    <mergeCell ref="I36:I42"/>
    <mergeCell ref="K36:L36"/>
    <mergeCell ref="K37:L37"/>
    <mergeCell ref="Q37:R37"/>
    <mergeCell ref="K38:L38"/>
    <mergeCell ref="P38:P44"/>
    <mergeCell ref="B39:B49"/>
    <mergeCell ref="K39:L39"/>
    <mergeCell ref="K40:L40"/>
    <mergeCell ref="B17:B20"/>
    <mergeCell ref="I17:I20"/>
    <mergeCell ref="T17:U17"/>
    <mergeCell ref="T18:U18"/>
    <mergeCell ref="T19:U19"/>
    <mergeCell ref="T20:U20"/>
    <mergeCell ref="I13:I16"/>
    <mergeCell ref="T13:U13"/>
    <mergeCell ref="T14:U14"/>
    <mergeCell ref="T15:U15"/>
    <mergeCell ref="T16:U16"/>
    <mergeCell ref="B5:B7"/>
    <mergeCell ref="T5:U5"/>
    <mergeCell ref="I6:I12"/>
    <mergeCell ref="T6:U6"/>
    <mergeCell ref="T7:U7"/>
    <mergeCell ref="I4:I5"/>
    <mergeCell ref="J4:J5"/>
    <mergeCell ref="M4:M5"/>
    <mergeCell ref="N4:N5"/>
    <mergeCell ref="T4:U4"/>
    <mergeCell ref="B8:B11"/>
    <mergeCell ref="T8:U8"/>
    <mergeCell ref="T9:U9"/>
    <mergeCell ref="T11:U11"/>
    <mergeCell ref="B12:B16"/>
    <mergeCell ref="T12:U12"/>
  </mergeCells>
  <phoneticPr fontId="4"/>
  <pageMargins left="0.7" right="0.7" top="0.75" bottom="0.75" header="0.3" footer="0.3"/>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192"/>
  <sheetViews>
    <sheetView zoomScale="75" zoomScaleNormal="75" workbookViewId="0"/>
  </sheetViews>
  <sheetFormatPr defaultRowHeight="13.5" x14ac:dyDescent="0.15"/>
  <cols>
    <col min="1" max="1" width="1.625" style="43" customWidth="1"/>
    <col min="2" max="2" width="3.625" style="43" customWidth="1"/>
    <col min="3" max="3" width="19.5" style="43" customWidth="1"/>
    <col min="4" max="7" width="8.625" style="43" customWidth="1"/>
    <col min="8" max="8" width="2.375" style="154" customWidth="1"/>
    <col min="9" max="9" width="3.625" style="43" customWidth="1"/>
    <col min="10" max="10" width="15.625" style="43" customWidth="1"/>
    <col min="11" max="14" width="8.625" style="43" customWidth="1"/>
    <col min="15" max="15" width="3.5" style="43" customWidth="1"/>
    <col min="16" max="16" width="15.625" style="127" customWidth="1"/>
    <col min="17" max="17" width="8.625" style="43" customWidth="1"/>
    <col min="18" max="18" width="8.625" style="44" customWidth="1"/>
    <col min="19" max="21" width="8.625" style="43" customWidth="1"/>
    <col min="22" max="22" width="10.625" style="44" customWidth="1"/>
    <col min="23" max="262" width="9" style="43"/>
    <col min="263" max="263" width="1.375" style="43" customWidth="1"/>
    <col min="264" max="264" width="3.5" style="43" customWidth="1"/>
    <col min="265" max="265" width="22.125" style="43" customWidth="1"/>
    <col min="266" max="266" width="9.75" style="43" customWidth="1"/>
    <col min="267" max="267" width="7.375" style="43" customWidth="1"/>
    <col min="268" max="268" width="9" style="43"/>
    <col min="269" max="269" width="9.25" style="43" customWidth="1"/>
    <col min="270" max="270" width="3.5" style="43" customWidth="1"/>
    <col min="271" max="272" width="12.625" style="43" customWidth="1"/>
    <col min="273" max="273" width="9" style="43"/>
    <col min="274" max="274" width="7.75" style="43" customWidth="1"/>
    <col min="275" max="275" width="13.125" style="43" customWidth="1"/>
    <col min="276" max="276" width="6.125" style="43" customWidth="1"/>
    <col min="277" max="277" width="9.75" style="43" customWidth="1"/>
    <col min="278" max="278" width="1.375" style="43" customWidth="1"/>
    <col min="279" max="518" width="9" style="43"/>
    <col min="519" max="519" width="1.375" style="43" customWidth="1"/>
    <col min="520" max="520" width="3.5" style="43" customWidth="1"/>
    <col min="521" max="521" width="22.125" style="43" customWidth="1"/>
    <col min="522" max="522" width="9.75" style="43" customWidth="1"/>
    <col min="523" max="523" width="7.375" style="43" customWidth="1"/>
    <col min="524" max="524" width="9" style="43"/>
    <col min="525" max="525" width="9.25" style="43" customWidth="1"/>
    <col min="526" max="526" width="3.5" style="43" customWidth="1"/>
    <col min="527" max="528" width="12.625" style="43" customWidth="1"/>
    <col min="529" max="529" width="9" style="43"/>
    <col min="530" max="530" width="7.75" style="43" customWidth="1"/>
    <col min="531" max="531" width="13.125" style="43" customWidth="1"/>
    <col min="532" max="532" width="6.125" style="43" customWidth="1"/>
    <col min="533" max="533" width="9.75" style="43" customWidth="1"/>
    <col min="534" max="534" width="1.375" style="43" customWidth="1"/>
    <col min="535" max="774" width="9" style="43"/>
    <col min="775" max="775" width="1.375" style="43" customWidth="1"/>
    <col min="776" max="776" width="3.5" style="43" customWidth="1"/>
    <col min="777" max="777" width="22.125" style="43" customWidth="1"/>
    <col min="778" max="778" width="9.75" style="43" customWidth="1"/>
    <col min="779" max="779" width="7.375" style="43" customWidth="1"/>
    <col min="780" max="780" width="9" style="43"/>
    <col min="781" max="781" width="9.25" style="43" customWidth="1"/>
    <col min="782" max="782" width="3.5" style="43" customWidth="1"/>
    <col min="783" max="784" width="12.625" style="43" customWidth="1"/>
    <col min="785" max="785" width="9" style="43"/>
    <col min="786" max="786" width="7.75" style="43" customWidth="1"/>
    <col min="787" max="787" width="13.125" style="43" customWidth="1"/>
    <col min="788" max="788" width="6.125" style="43" customWidth="1"/>
    <col min="789" max="789" width="9.75" style="43" customWidth="1"/>
    <col min="790" max="790" width="1.375" style="43" customWidth="1"/>
    <col min="791" max="1030" width="9" style="43"/>
    <col min="1031" max="1031" width="1.375" style="43" customWidth="1"/>
    <col min="1032" max="1032" width="3.5" style="43" customWidth="1"/>
    <col min="1033" max="1033" width="22.125" style="43" customWidth="1"/>
    <col min="1034" max="1034" width="9.75" style="43" customWidth="1"/>
    <col min="1035" max="1035" width="7.375" style="43" customWidth="1"/>
    <col min="1036" max="1036" width="9" style="43"/>
    <col min="1037" max="1037" width="9.25" style="43" customWidth="1"/>
    <col min="1038" max="1038" width="3.5" style="43" customWidth="1"/>
    <col min="1039" max="1040" width="12.625" style="43" customWidth="1"/>
    <col min="1041" max="1041" width="9" style="43"/>
    <col min="1042" max="1042" width="7.75" style="43" customWidth="1"/>
    <col min="1043" max="1043" width="13.125" style="43" customWidth="1"/>
    <col min="1044" max="1044" width="6.125" style="43" customWidth="1"/>
    <col min="1045" max="1045" width="9.75" style="43" customWidth="1"/>
    <col min="1046" max="1046" width="1.375" style="43" customWidth="1"/>
    <col min="1047" max="1286" width="9" style="43"/>
    <col min="1287" max="1287" width="1.375" style="43" customWidth="1"/>
    <col min="1288" max="1288" width="3.5" style="43" customWidth="1"/>
    <col min="1289" max="1289" width="22.125" style="43" customWidth="1"/>
    <col min="1290" max="1290" width="9.75" style="43" customWidth="1"/>
    <col min="1291" max="1291" width="7.375" style="43" customWidth="1"/>
    <col min="1292" max="1292" width="9" style="43"/>
    <col min="1293" max="1293" width="9.25" style="43" customWidth="1"/>
    <col min="1294" max="1294" width="3.5" style="43" customWidth="1"/>
    <col min="1295" max="1296" width="12.625" style="43" customWidth="1"/>
    <col min="1297" max="1297" width="9" style="43"/>
    <col min="1298" max="1298" width="7.75" style="43" customWidth="1"/>
    <col min="1299" max="1299" width="13.125" style="43" customWidth="1"/>
    <col min="1300" max="1300" width="6.125" style="43" customWidth="1"/>
    <col min="1301" max="1301" width="9.75" style="43" customWidth="1"/>
    <col min="1302" max="1302" width="1.375" style="43" customWidth="1"/>
    <col min="1303" max="1542" width="9" style="43"/>
    <col min="1543" max="1543" width="1.375" style="43" customWidth="1"/>
    <col min="1544" max="1544" width="3.5" style="43" customWidth="1"/>
    <col min="1545" max="1545" width="22.125" style="43" customWidth="1"/>
    <col min="1546" max="1546" width="9.75" style="43" customWidth="1"/>
    <col min="1547" max="1547" width="7.375" style="43" customWidth="1"/>
    <col min="1548" max="1548" width="9" style="43"/>
    <col min="1549" max="1549" width="9.25" style="43" customWidth="1"/>
    <col min="1550" max="1550" width="3.5" style="43" customWidth="1"/>
    <col min="1551" max="1552" width="12.625" style="43" customWidth="1"/>
    <col min="1553" max="1553" width="9" style="43"/>
    <col min="1554" max="1554" width="7.75" style="43" customWidth="1"/>
    <col min="1555" max="1555" width="13.125" style="43" customWidth="1"/>
    <col min="1556" max="1556" width="6.125" style="43" customWidth="1"/>
    <col min="1557" max="1557" width="9.75" style="43" customWidth="1"/>
    <col min="1558" max="1558" width="1.375" style="43" customWidth="1"/>
    <col min="1559" max="1798" width="9" style="43"/>
    <col min="1799" max="1799" width="1.375" style="43" customWidth="1"/>
    <col min="1800" max="1800" width="3.5" style="43" customWidth="1"/>
    <col min="1801" max="1801" width="22.125" style="43" customWidth="1"/>
    <col min="1802" max="1802" width="9.75" style="43" customWidth="1"/>
    <col min="1803" max="1803" width="7.375" style="43" customWidth="1"/>
    <col min="1804" max="1804" width="9" style="43"/>
    <col min="1805" max="1805" width="9.25" style="43" customWidth="1"/>
    <col min="1806" max="1806" width="3.5" style="43" customWidth="1"/>
    <col min="1807" max="1808" width="12.625" style="43" customWidth="1"/>
    <col min="1809" max="1809" width="9" style="43"/>
    <col min="1810" max="1810" width="7.75" style="43" customWidth="1"/>
    <col min="1811" max="1811" width="13.125" style="43" customWidth="1"/>
    <col min="1812" max="1812" width="6.125" style="43" customWidth="1"/>
    <col min="1813" max="1813" width="9.75" style="43" customWidth="1"/>
    <col min="1814" max="1814" width="1.375" style="43" customWidth="1"/>
    <col min="1815" max="2054" width="9" style="43"/>
    <col min="2055" max="2055" width="1.375" style="43" customWidth="1"/>
    <col min="2056" max="2056" width="3.5" style="43" customWidth="1"/>
    <col min="2057" max="2057" width="22.125" style="43" customWidth="1"/>
    <col min="2058" max="2058" width="9.75" style="43" customWidth="1"/>
    <col min="2059" max="2059" width="7.375" style="43" customWidth="1"/>
    <col min="2060" max="2060" width="9" style="43"/>
    <col min="2061" max="2061" width="9.25" style="43" customWidth="1"/>
    <col min="2062" max="2062" width="3.5" style="43" customWidth="1"/>
    <col min="2063" max="2064" width="12.625" style="43" customWidth="1"/>
    <col min="2065" max="2065" width="9" style="43"/>
    <col min="2066" max="2066" width="7.75" style="43" customWidth="1"/>
    <col min="2067" max="2067" width="13.125" style="43" customWidth="1"/>
    <col min="2068" max="2068" width="6.125" style="43" customWidth="1"/>
    <col min="2069" max="2069" width="9.75" style="43" customWidth="1"/>
    <col min="2070" max="2070" width="1.375" style="43" customWidth="1"/>
    <col min="2071" max="2310" width="9" style="43"/>
    <col min="2311" max="2311" width="1.375" style="43" customWidth="1"/>
    <col min="2312" max="2312" width="3.5" style="43" customWidth="1"/>
    <col min="2313" max="2313" width="22.125" style="43" customWidth="1"/>
    <col min="2314" max="2314" width="9.75" style="43" customWidth="1"/>
    <col min="2315" max="2315" width="7.375" style="43" customWidth="1"/>
    <col min="2316" max="2316" width="9" style="43"/>
    <col min="2317" max="2317" width="9.25" style="43" customWidth="1"/>
    <col min="2318" max="2318" width="3.5" style="43" customWidth="1"/>
    <col min="2319" max="2320" width="12.625" style="43" customWidth="1"/>
    <col min="2321" max="2321" width="9" style="43"/>
    <col min="2322" max="2322" width="7.75" style="43" customWidth="1"/>
    <col min="2323" max="2323" width="13.125" style="43" customWidth="1"/>
    <col min="2324" max="2324" width="6.125" style="43" customWidth="1"/>
    <col min="2325" max="2325" width="9.75" style="43" customWidth="1"/>
    <col min="2326" max="2326" width="1.375" style="43" customWidth="1"/>
    <col min="2327" max="2566" width="9" style="43"/>
    <col min="2567" max="2567" width="1.375" style="43" customWidth="1"/>
    <col min="2568" max="2568" width="3.5" style="43" customWidth="1"/>
    <col min="2569" max="2569" width="22.125" style="43" customWidth="1"/>
    <col min="2570" max="2570" width="9.75" style="43" customWidth="1"/>
    <col min="2571" max="2571" width="7.375" style="43" customWidth="1"/>
    <col min="2572" max="2572" width="9" style="43"/>
    <col min="2573" max="2573" width="9.25" style="43" customWidth="1"/>
    <col min="2574" max="2574" width="3.5" style="43" customWidth="1"/>
    <col min="2575" max="2576" width="12.625" style="43" customWidth="1"/>
    <col min="2577" max="2577" width="9" style="43"/>
    <col min="2578" max="2578" width="7.75" style="43" customWidth="1"/>
    <col min="2579" max="2579" width="13.125" style="43" customWidth="1"/>
    <col min="2580" max="2580" width="6.125" style="43" customWidth="1"/>
    <col min="2581" max="2581" width="9.75" style="43" customWidth="1"/>
    <col min="2582" max="2582" width="1.375" style="43" customWidth="1"/>
    <col min="2583" max="2822" width="9" style="43"/>
    <col min="2823" max="2823" width="1.375" style="43" customWidth="1"/>
    <col min="2824" max="2824" width="3.5" style="43" customWidth="1"/>
    <col min="2825" max="2825" width="22.125" style="43" customWidth="1"/>
    <col min="2826" max="2826" width="9.75" style="43" customWidth="1"/>
    <col min="2827" max="2827" width="7.375" style="43" customWidth="1"/>
    <col min="2828" max="2828" width="9" style="43"/>
    <col min="2829" max="2829" width="9.25" style="43" customWidth="1"/>
    <col min="2830" max="2830" width="3.5" style="43" customWidth="1"/>
    <col min="2831" max="2832" width="12.625" style="43" customWidth="1"/>
    <col min="2833" max="2833" width="9" style="43"/>
    <col min="2834" max="2834" width="7.75" style="43" customWidth="1"/>
    <col min="2835" max="2835" width="13.125" style="43" customWidth="1"/>
    <col min="2836" max="2836" width="6.125" style="43" customWidth="1"/>
    <col min="2837" max="2837" width="9.75" style="43" customWidth="1"/>
    <col min="2838" max="2838" width="1.375" style="43" customWidth="1"/>
    <col min="2839" max="3078" width="9" style="43"/>
    <col min="3079" max="3079" width="1.375" style="43" customWidth="1"/>
    <col min="3080" max="3080" width="3.5" style="43" customWidth="1"/>
    <col min="3081" max="3081" width="22.125" style="43" customWidth="1"/>
    <col min="3082" max="3082" width="9.75" style="43" customWidth="1"/>
    <col min="3083" max="3083" width="7.375" style="43" customWidth="1"/>
    <col min="3084" max="3084" width="9" style="43"/>
    <col min="3085" max="3085" width="9.25" style="43" customWidth="1"/>
    <col min="3086" max="3086" width="3.5" style="43" customWidth="1"/>
    <col min="3087" max="3088" width="12.625" style="43" customWidth="1"/>
    <col min="3089" max="3089" width="9" style="43"/>
    <col min="3090" max="3090" width="7.75" style="43" customWidth="1"/>
    <col min="3091" max="3091" width="13.125" style="43" customWidth="1"/>
    <col min="3092" max="3092" width="6.125" style="43" customWidth="1"/>
    <col min="3093" max="3093" width="9.75" style="43" customWidth="1"/>
    <col min="3094" max="3094" width="1.375" style="43" customWidth="1"/>
    <col min="3095" max="3334" width="9" style="43"/>
    <col min="3335" max="3335" width="1.375" style="43" customWidth="1"/>
    <col min="3336" max="3336" width="3.5" style="43" customWidth="1"/>
    <col min="3337" max="3337" width="22.125" style="43" customWidth="1"/>
    <col min="3338" max="3338" width="9.75" style="43" customWidth="1"/>
    <col min="3339" max="3339" width="7.375" style="43" customWidth="1"/>
    <col min="3340" max="3340" width="9" style="43"/>
    <col min="3341" max="3341" width="9.25" style="43" customWidth="1"/>
    <col min="3342" max="3342" width="3.5" style="43" customWidth="1"/>
    <col min="3343" max="3344" width="12.625" style="43" customWidth="1"/>
    <col min="3345" max="3345" width="9" style="43"/>
    <col min="3346" max="3346" width="7.75" style="43" customWidth="1"/>
    <col min="3347" max="3347" width="13.125" style="43" customWidth="1"/>
    <col min="3348" max="3348" width="6.125" style="43" customWidth="1"/>
    <col min="3349" max="3349" width="9.75" style="43" customWidth="1"/>
    <col min="3350" max="3350" width="1.375" style="43" customWidth="1"/>
    <col min="3351" max="3590" width="9" style="43"/>
    <col min="3591" max="3591" width="1.375" style="43" customWidth="1"/>
    <col min="3592" max="3592" width="3.5" style="43" customWidth="1"/>
    <col min="3593" max="3593" width="22.125" style="43" customWidth="1"/>
    <col min="3594" max="3594" width="9.75" style="43" customWidth="1"/>
    <col min="3595" max="3595" width="7.375" style="43" customWidth="1"/>
    <col min="3596" max="3596" width="9" style="43"/>
    <col min="3597" max="3597" width="9.25" style="43" customWidth="1"/>
    <col min="3598" max="3598" width="3.5" style="43" customWidth="1"/>
    <col min="3599" max="3600" width="12.625" style="43" customWidth="1"/>
    <col min="3601" max="3601" width="9" style="43"/>
    <col min="3602" max="3602" width="7.75" style="43" customWidth="1"/>
    <col min="3603" max="3603" width="13.125" style="43" customWidth="1"/>
    <col min="3604" max="3604" width="6.125" style="43" customWidth="1"/>
    <col min="3605" max="3605" width="9.75" style="43" customWidth="1"/>
    <col min="3606" max="3606" width="1.375" style="43" customWidth="1"/>
    <col min="3607" max="3846" width="9" style="43"/>
    <col min="3847" max="3847" width="1.375" style="43" customWidth="1"/>
    <col min="3848" max="3848" width="3.5" style="43" customWidth="1"/>
    <col min="3849" max="3849" width="22.125" style="43" customWidth="1"/>
    <col min="3850" max="3850" width="9.75" style="43" customWidth="1"/>
    <col min="3851" max="3851" width="7.375" style="43" customWidth="1"/>
    <col min="3852" max="3852" width="9" style="43"/>
    <col min="3853" max="3853" width="9.25" style="43" customWidth="1"/>
    <col min="3854" max="3854" width="3.5" style="43" customWidth="1"/>
    <col min="3855" max="3856" width="12.625" style="43" customWidth="1"/>
    <col min="3857" max="3857" width="9" style="43"/>
    <col min="3858" max="3858" width="7.75" style="43" customWidth="1"/>
    <col min="3859" max="3859" width="13.125" style="43" customWidth="1"/>
    <col min="3860" max="3860" width="6.125" style="43" customWidth="1"/>
    <col min="3861" max="3861" width="9.75" style="43" customWidth="1"/>
    <col min="3862" max="3862" width="1.375" style="43" customWidth="1"/>
    <col min="3863" max="4102" width="9" style="43"/>
    <col min="4103" max="4103" width="1.375" style="43" customWidth="1"/>
    <col min="4104" max="4104" width="3.5" style="43" customWidth="1"/>
    <col min="4105" max="4105" width="22.125" style="43" customWidth="1"/>
    <col min="4106" max="4106" width="9.75" style="43" customWidth="1"/>
    <col min="4107" max="4107" width="7.375" style="43" customWidth="1"/>
    <col min="4108" max="4108" width="9" style="43"/>
    <col min="4109" max="4109" width="9.25" style="43" customWidth="1"/>
    <col min="4110" max="4110" width="3.5" style="43" customWidth="1"/>
    <col min="4111" max="4112" width="12.625" style="43" customWidth="1"/>
    <col min="4113" max="4113" width="9" style="43"/>
    <col min="4114" max="4114" width="7.75" style="43" customWidth="1"/>
    <col min="4115" max="4115" width="13.125" style="43" customWidth="1"/>
    <col min="4116" max="4116" width="6.125" style="43" customWidth="1"/>
    <col min="4117" max="4117" width="9.75" style="43" customWidth="1"/>
    <col min="4118" max="4118" width="1.375" style="43" customWidth="1"/>
    <col min="4119" max="4358" width="9" style="43"/>
    <col min="4359" max="4359" width="1.375" style="43" customWidth="1"/>
    <col min="4360" max="4360" width="3.5" style="43" customWidth="1"/>
    <col min="4361" max="4361" width="22.125" style="43" customWidth="1"/>
    <col min="4362" max="4362" width="9.75" style="43" customWidth="1"/>
    <col min="4363" max="4363" width="7.375" style="43" customWidth="1"/>
    <col min="4364" max="4364" width="9" style="43"/>
    <col min="4365" max="4365" width="9.25" style="43" customWidth="1"/>
    <col min="4366" max="4366" width="3.5" style="43" customWidth="1"/>
    <col min="4367" max="4368" width="12.625" style="43" customWidth="1"/>
    <col min="4369" max="4369" width="9" style="43"/>
    <col min="4370" max="4370" width="7.75" style="43" customWidth="1"/>
    <col min="4371" max="4371" width="13.125" style="43" customWidth="1"/>
    <col min="4372" max="4372" width="6.125" style="43" customWidth="1"/>
    <col min="4373" max="4373" width="9.75" style="43" customWidth="1"/>
    <col min="4374" max="4374" width="1.375" style="43" customWidth="1"/>
    <col min="4375" max="4614" width="9" style="43"/>
    <col min="4615" max="4615" width="1.375" style="43" customWidth="1"/>
    <col min="4616" max="4616" width="3.5" style="43" customWidth="1"/>
    <col min="4617" max="4617" width="22.125" style="43" customWidth="1"/>
    <col min="4618" max="4618" width="9.75" style="43" customWidth="1"/>
    <col min="4619" max="4619" width="7.375" style="43" customWidth="1"/>
    <col min="4620" max="4620" width="9" style="43"/>
    <col min="4621" max="4621" width="9.25" style="43" customWidth="1"/>
    <col min="4622" max="4622" width="3.5" style="43" customWidth="1"/>
    <col min="4623" max="4624" width="12.625" style="43" customWidth="1"/>
    <col min="4625" max="4625" width="9" style="43"/>
    <col min="4626" max="4626" width="7.75" style="43" customWidth="1"/>
    <col min="4627" max="4627" width="13.125" style="43" customWidth="1"/>
    <col min="4628" max="4628" width="6.125" style="43" customWidth="1"/>
    <col min="4629" max="4629" width="9.75" style="43" customWidth="1"/>
    <col min="4630" max="4630" width="1.375" style="43" customWidth="1"/>
    <col min="4631" max="4870" width="9" style="43"/>
    <col min="4871" max="4871" width="1.375" style="43" customWidth="1"/>
    <col min="4872" max="4872" width="3.5" style="43" customWidth="1"/>
    <col min="4873" max="4873" width="22.125" style="43" customWidth="1"/>
    <col min="4874" max="4874" width="9.75" style="43" customWidth="1"/>
    <col min="4875" max="4875" width="7.375" style="43" customWidth="1"/>
    <col min="4876" max="4876" width="9" style="43"/>
    <col min="4877" max="4877" width="9.25" style="43" customWidth="1"/>
    <col min="4878" max="4878" width="3.5" style="43" customWidth="1"/>
    <col min="4879" max="4880" width="12.625" style="43" customWidth="1"/>
    <col min="4881" max="4881" width="9" style="43"/>
    <col min="4882" max="4882" width="7.75" style="43" customWidth="1"/>
    <col min="4883" max="4883" width="13.125" style="43" customWidth="1"/>
    <col min="4884" max="4884" width="6.125" style="43" customWidth="1"/>
    <col min="4885" max="4885" width="9.75" style="43" customWidth="1"/>
    <col min="4886" max="4886" width="1.375" style="43" customWidth="1"/>
    <col min="4887" max="5126" width="9" style="43"/>
    <col min="5127" max="5127" width="1.375" style="43" customWidth="1"/>
    <col min="5128" max="5128" width="3.5" style="43" customWidth="1"/>
    <col min="5129" max="5129" width="22.125" style="43" customWidth="1"/>
    <col min="5130" max="5130" width="9.75" style="43" customWidth="1"/>
    <col min="5131" max="5131" width="7.375" style="43" customWidth="1"/>
    <col min="5132" max="5132" width="9" style="43"/>
    <col min="5133" max="5133" width="9.25" style="43" customWidth="1"/>
    <col min="5134" max="5134" width="3.5" style="43" customWidth="1"/>
    <col min="5135" max="5136" width="12.625" style="43" customWidth="1"/>
    <col min="5137" max="5137" width="9" style="43"/>
    <col min="5138" max="5138" width="7.75" style="43" customWidth="1"/>
    <col min="5139" max="5139" width="13.125" style="43" customWidth="1"/>
    <col min="5140" max="5140" width="6.125" style="43" customWidth="1"/>
    <col min="5141" max="5141" width="9.75" style="43" customWidth="1"/>
    <col min="5142" max="5142" width="1.375" style="43" customWidth="1"/>
    <col min="5143" max="5382" width="9" style="43"/>
    <col min="5383" max="5383" width="1.375" style="43" customWidth="1"/>
    <col min="5384" max="5384" width="3.5" style="43" customWidth="1"/>
    <col min="5385" max="5385" width="22.125" style="43" customWidth="1"/>
    <col min="5386" max="5386" width="9.75" style="43" customWidth="1"/>
    <col min="5387" max="5387" width="7.375" style="43" customWidth="1"/>
    <col min="5388" max="5388" width="9" style="43"/>
    <col min="5389" max="5389" width="9.25" style="43" customWidth="1"/>
    <col min="5390" max="5390" width="3.5" style="43" customWidth="1"/>
    <col min="5391" max="5392" width="12.625" style="43" customWidth="1"/>
    <col min="5393" max="5393" width="9" style="43"/>
    <col min="5394" max="5394" width="7.75" style="43" customWidth="1"/>
    <col min="5395" max="5395" width="13.125" style="43" customWidth="1"/>
    <col min="5396" max="5396" width="6.125" style="43" customWidth="1"/>
    <col min="5397" max="5397" width="9.75" style="43" customWidth="1"/>
    <col min="5398" max="5398" width="1.375" style="43" customWidth="1"/>
    <col min="5399" max="5638" width="9" style="43"/>
    <col min="5639" max="5639" width="1.375" style="43" customWidth="1"/>
    <col min="5640" max="5640" width="3.5" style="43" customWidth="1"/>
    <col min="5641" max="5641" width="22.125" style="43" customWidth="1"/>
    <col min="5642" max="5642" width="9.75" style="43" customWidth="1"/>
    <col min="5643" max="5643" width="7.375" style="43" customWidth="1"/>
    <col min="5644" max="5644" width="9" style="43"/>
    <col min="5645" max="5645" width="9.25" style="43" customWidth="1"/>
    <col min="5646" max="5646" width="3.5" style="43" customWidth="1"/>
    <col min="5647" max="5648" width="12.625" style="43" customWidth="1"/>
    <col min="5649" max="5649" width="9" style="43"/>
    <col min="5650" max="5650" width="7.75" style="43" customWidth="1"/>
    <col min="5651" max="5651" width="13.125" style="43" customWidth="1"/>
    <col min="5652" max="5652" width="6.125" style="43" customWidth="1"/>
    <col min="5653" max="5653" width="9.75" style="43" customWidth="1"/>
    <col min="5654" max="5654" width="1.375" style="43" customWidth="1"/>
    <col min="5655" max="5894" width="9" style="43"/>
    <col min="5895" max="5895" width="1.375" style="43" customWidth="1"/>
    <col min="5896" max="5896" width="3.5" style="43" customWidth="1"/>
    <col min="5897" max="5897" width="22.125" style="43" customWidth="1"/>
    <col min="5898" max="5898" width="9.75" style="43" customWidth="1"/>
    <col min="5899" max="5899" width="7.375" style="43" customWidth="1"/>
    <col min="5900" max="5900" width="9" style="43"/>
    <col min="5901" max="5901" width="9.25" style="43" customWidth="1"/>
    <col min="5902" max="5902" width="3.5" style="43" customWidth="1"/>
    <col min="5903" max="5904" width="12.625" style="43" customWidth="1"/>
    <col min="5905" max="5905" width="9" style="43"/>
    <col min="5906" max="5906" width="7.75" style="43" customWidth="1"/>
    <col min="5907" max="5907" width="13.125" style="43" customWidth="1"/>
    <col min="5908" max="5908" width="6.125" style="43" customWidth="1"/>
    <col min="5909" max="5909" width="9.75" style="43" customWidth="1"/>
    <col min="5910" max="5910" width="1.375" style="43" customWidth="1"/>
    <col min="5911" max="6150" width="9" style="43"/>
    <col min="6151" max="6151" width="1.375" style="43" customWidth="1"/>
    <col min="6152" max="6152" width="3.5" style="43" customWidth="1"/>
    <col min="6153" max="6153" width="22.125" style="43" customWidth="1"/>
    <col min="6154" max="6154" width="9.75" style="43" customWidth="1"/>
    <col min="6155" max="6155" width="7.375" style="43" customWidth="1"/>
    <col min="6156" max="6156" width="9" style="43"/>
    <col min="6157" max="6157" width="9.25" style="43" customWidth="1"/>
    <col min="6158" max="6158" width="3.5" style="43" customWidth="1"/>
    <col min="6159" max="6160" width="12.625" style="43" customWidth="1"/>
    <col min="6161" max="6161" width="9" style="43"/>
    <col min="6162" max="6162" width="7.75" style="43" customWidth="1"/>
    <col min="6163" max="6163" width="13.125" style="43" customWidth="1"/>
    <col min="6164" max="6164" width="6.125" style="43" customWidth="1"/>
    <col min="6165" max="6165" width="9.75" style="43" customWidth="1"/>
    <col min="6166" max="6166" width="1.375" style="43" customWidth="1"/>
    <col min="6167" max="6406" width="9" style="43"/>
    <col min="6407" max="6407" width="1.375" style="43" customWidth="1"/>
    <col min="6408" max="6408" width="3.5" style="43" customWidth="1"/>
    <col min="6409" max="6409" width="22.125" style="43" customWidth="1"/>
    <col min="6410" max="6410" width="9.75" style="43" customWidth="1"/>
    <col min="6411" max="6411" width="7.375" style="43" customWidth="1"/>
    <col min="6412" max="6412" width="9" style="43"/>
    <col min="6413" max="6413" width="9.25" style="43" customWidth="1"/>
    <col min="6414" max="6414" width="3.5" style="43" customWidth="1"/>
    <col min="6415" max="6416" width="12.625" style="43" customWidth="1"/>
    <col min="6417" max="6417" width="9" style="43"/>
    <col min="6418" max="6418" width="7.75" style="43" customWidth="1"/>
    <col min="6419" max="6419" width="13.125" style="43" customWidth="1"/>
    <col min="6420" max="6420" width="6.125" style="43" customWidth="1"/>
    <col min="6421" max="6421" width="9.75" style="43" customWidth="1"/>
    <col min="6422" max="6422" width="1.375" style="43" customWidth="1"/>
    <col min="6423" max="6662" width="9" style="43"/>
    <col min="6663" max="6663" width="1.375" style="43" customWidth="1"/>
    <col min="6664" max="6664" width="3.5" style="43" customWidth="1"/>
    <col min="6665" max="6665" width="22.125" style="43" customWidth="1"/>
    <col min="6666" max="6666" width="9.75" style="43" customWidth="1"/>
    <col min="6667" max="6667" width="7.375" style="43" customWidth="1"/>
    <col min="6668" max="6668" width="9" style="43"/>
    <col min="6669" max="6669" width="9.25" style="43" customWidth="1"/>
    <col min="6670" max="6670" width="3.5" style="43" customWidth="1"/>
    <col min="6671" max="6672" width="12.625" style="43" customWidth="1"/>
    <col min="6673" max="6673" width="9" style="43"/>
    <col min="6674" max="6674" width="7.75" style="43" customWidth="1"/>
    <col min="6675" max="6675" width="13.125" style="43" customWidth="1"/>
    <col min="6676" max="6676" width="6.125" style="43" customWidth="1"/>
    <col min="6677" max="6677" width="9.75" style="43" customWidth="1"/>
    <col min="6678" max="6678" width="1.375" style="43" customWidth="1"/>
    <col min="6679" max="6918" width="9" style="43"/>
    <col min="6919" max="6919" width="1.375" style="43" customWidth="1"/>
    <col min="6920" max="6920" width="3.5" style="43" customWidth="1"/>
    <col min="6921" max="6921" width="22.125" style="43" customWidth="1"/>
    <col min="6922" max="6922" width="9.75" style="43" customWidth="1"/>
    <col min="6923" max="6923" width="7.375" style="43" customWidth="1"/>
    <col min="6924" max="6924" width="9" style="43"/>
    <col min="6925" max="6925" width="9.25" style="43" customWidth="1"/>
    <col min="6926" max="6926" width="3.5" style="43" customWidth="1"/>
    <col min="6927" max="6928" width="12.625" style="43" customWidth="1"/>
    <col min="6929" max="6929" width="9" style="43"/>
    <col min="6930" max="6930" width="7.75" style="43" customWidth="1"/>
    <col min="6931" max="6931" width="13.125" style="43" customWidth="1"/>
    <col min="6932" max="6932" width="6.125" style="43" customWidth="1"/>
    <col min="6933" max="6933" width="9.75" style="43" customWidth="1"/>
    <col min="6934" max="6934" width="1.375" style="43" customWidth="1"/>
    <col min="6935" max="7174" width="9" style="43"/>
    <col min="7175" max="7175" width="1.375" style="43" customWidth="1"/>
    <col min="7176" max="7176" width="3.5" style="43" customWidth="1"/>
    <col min="7177" max="7177" width="22.125" style="43" customWidth="1"/>
    <col min="7178" max="7178" width="9.75" style="43" customWidth="1"/>
    <col min="7179" max="7179" width="7.375" style="43" customWidth="1"/>
    <col min="7180" max="7180" width="9" style="43"/>
    <col min="7181" max="7181" width="9.25" style="43" customWidth="1"/>
    <col min="7182" max="7182" width="3.5" style="43" customWidth="1"/>
    <col min="7183" max="7184" width="12.625" style="43" customWidth="1"/>
    <col min="7185" max="7185" width="9" style="43"/>
    <col min="7186" max="7186" width="7.75" style="43" customWidth="1"/>
    <col min="7187" max="7187" width="13.125" style="43" customWidth="1"/>
    <col min="7188" max="7188" width="6.125" style="43" customWidth="1"/>
    <col min="7189" max="7189" width="9.75" style="43" customWidth="1"/>
    <col min="7190" max="7190" width="1.375" style="43" customWidth="1"/>
    <col min="7191" max="7430" width="9" style="43"/>
    <col min="7431" max="7431" width="1.375" style="43" customWidth="1"/>
    <col min="7432" max="7432" width="3.5" style="43" customWidth="1"/>
    <col min="7433" max="7433" width="22.125" style="43" customWidth="1"/>
    <col min="7434" max="7434" width="9.75" style="43" customWidth="1"/>
    <col min="7435" max="7435" width="7.375" style="43" customWidth="1"/>
    <col min="7436" max="7436" width="9" style="43"/>
    <col min="7437" max="7437" width="9.25" style="43" customWidth="1"/>
    <col min="7438" max="7438" width="3.5" style="43" customWidth="1"/>
    <col min="7439" max="7440" width="12.625" style="43" customWidth="1"/>
    <col min="7441" max="7441" width="9" style="43"/>
    <col min="7442" max="7442" width="7.75" style="43" customWidth="1"/>
    <col min="7443" max="7443" width="13.125" style="43" customWidth="1"/>
    <col min="7444" max="7444" width="6.125" style="43" customWidth="1"/>
    <col min="7445" max="7445" width="9.75" style="43" customWidth="1"/>
    <col min="7446" max="7446" width="1.375" style="43" customWidth="1"/>
    <col min="7447" max="7686" width="9" style="43"/>
    <col min="7687" max="7687" width="1.375" style="43" customWidth="1"/>
    <col min="7688" max="7688" width="3.5" style="43" customWidth="1"/>
    <col min="7689" max="7689" width="22.125" style="43" customWidth="1"/>
    <col min="7690" max="7690" width="9.75" style="43" customWidth="1"/>
    <col min="7691" max="7691" width="7.375" style="43" customWidth="1"/>
    <col min="7692" max="7692" width="9" style="43"/>
    <col min="7693" max="7693" width="9.25" style="43" customWidth="1"/>
    <col min="7694" max="7694" width="3.5" style="43" customWidth="1"/>
    <col min="7695" max="7696" width="12.625" style="43" customWidth="1"/>
    <col min="7697" max="7697" width="9" style="43"/>
    <col min="7698" max="7698" width="7.75" style="43" customWidth="1"/>
    <col min="7699" max="7699" width="13.125" style="43" customWidth="1"/>
    <col min="7700" max="7700" width="6.125" style="43" customWidth="1"/>
    <col min="7701" max="7701" width="9.75" style="43" customWidth="1"/>
    <col min="7702" max="7702" width="1.375" style="43" customWidth="1"/>
    <col min="7703" max="7942" width="9" style="43"/>
    <col min="7943" max="7943" width="1.375" style="43" customWidth="1"/>
    <col min="7944" max="7944" width="3.5" style="43" customWidth="1"/>
    <col min="7945" max="7945" width="22.125" style="43" customWidth="1"/>
    <col min="7946" max="7946" width="9.75" style="43" customWidth="1"/>
    <col min="7947" max="7947" width="7.375" style="43" customWidth="1"/>
    <col min="7948" max="7948" width="9" style="43"/>
    <col min="7949" max="7949" width="9.25" style="43" customWidth="1"/>
    <col min="7950" max="7950" width="3.5" style="43" customWidth="1"/>
    <col min="7951" max="7952" width="12.625" style="43" customWidth="1"/>
    <col min="7953" max="7953" width="9" style="43"/>
    <col min="7954" max="7954" width="7.75" style="43" customWidth="1"/>
    <col min="7955" max="7955" width="13.125" style="43" customWidth="1"/>
    <col min="7956" max="7956" width="6.125" style="43" customWidth="1"/>
    <col min="7957" max="7957" width="9.75" style="43" customWidth="1"/>
    <col min="7958" max="7958" width="1.375" style="43" customWidth="1"/>
    <col min="7959" max="8198" width="9" style="43"/>
    <col min="8199" max="8199" width="1.375" style="43" customWidth="1"/>
    <col min="8200" max="8200" width="3.5" style="43" customWidth="1"/>
    <col min="8201" max="8201" width="22.125" style="43" customWidth="1"/>
    <col min="8202" max="8202" width="9.75" style="43" customWidth="1"/>
    <col min="8203" max="8203" width="7.375" style="43" customWidth="1"/>
    <col min="8204" max="8204" width="9" style="43"/>
    <col min="8205" max="8205" width="9.25" style="43" customWidth="1"/>
    <col min="8206" max="8206" width="3.5" style="43" customWidth="1"/>
    <col min="8207" max="8208" width="12.625" style="43" customWidth="1"/>
    <col min="8209" max="8209" width="9" style="43"/>
    <col min="8210" max="8210" width="7.75" style="43" customWidth="1"/>
    <col min="8211" max="8211" width="13.125" style="43" customWidth="1"/>
    <col min="8212" max="8212" width="6.125" style="43" customWidth="1"/>
    <col min="8213" max="8213" width="9.75" style="43" customWidth="1"/>
    <col min="8214" max="8214" width="1.375" style="43" customWidth="1"/>
    <col min="8215" max="8454" width="9" style="43"/>
    <col min="8455" max="8455" width="1.375" style="43" customWidth="1"/>
    <col min="8456" max="8456" width="3.5" style="43" customWidth="1"/>
    <col min="8457" max="8457" width="22.125" style="43" customWidth="1"/>
    <col min="8458" max="8458" width="9.75" style="43" customWidth="1"/>
    <col min="8459" max="8459" width="7.375" style="43" customWidth="1"/>
    <col min="8460" max="8460" width="9" style="43"/>
    <col min="8461" max="8461" width="9.25" style="43" customWidth="1"/>
    <col min="8462" max="8462" width="3.5" style="43" customWidth="1"/>
    <col min="8463" max="8464" width="12.625" style="43" customWidth="1"/>
    <col min="8465" max="8465" width="9" style="43"/>
    <col min="8466" max="8466" width="7.75" style="43" customWidth="1"/>
    <col min="8467" max="8467" width="13.125" style="43" customWidth="1"/>
    <col min="8468" max="8468" width="6.125" style="43" customWidth="1"/>
    <col min="8469" max="8469" width="9.75" style="43" customWidth="1"/>
    <col min="8470" max="8470" width="1.375" style="43" customWidth="1"/>
    <col min="8471" max="8710" width="9" style="43"/>
    <col min="8711" max="8711" width="1.375" style="43" customWidth="1"/>
    <col min="8712" max="8712" width="3.5" style="43" customWidth="1"/>
    <col min="8713" max="8713" width="22.125" style="43" customWidth="1"/>
    <col min="8714" max="8714" width="9.75" style="43" customWidth="1"/>
    <col min="8715" max="8715" width="7.375" style="43" customWidth="1"/>
    <col min="8716" max="8716" width="9" style="43"/>
    <col min="8717" max="8717" width="9.25" style="43" customWidth="1"/>
    <col min="8718" max="8718" width="3.5" style="43" customWidth="1"/>
    <col min="8719" max="8720" width="12.625" style="43" customWidth="1"/>
    <col min="8721" max="8721" width="9" style="43"/>
    <col min="8722" max="8722" width="7.75" style="43" customWidth="1"/>
    <col min="8723" max="8723" width="13.125" style="43" customWidth="1"/>
    <col min="8724" max="8724" width="6.125" style="43" customWidth="1"/>
    <col min="8725" max="8725" width="9.75" style="43" customWidth="1"/>
    <col min="8726" max="8726" width="1.375" style="43" customWidth="1"/>
    <col min="8727" max="8966" width="9" style="43"/>
    <col min="8967" max="8967" width="1.375" style="43" customWidth="1"/>
    <col min="8968" max="8968" width="3.5" style="43" customWidth="1"/>
    <col min="8969" max="8969" width="22.125" style="43" customWidth="1"/>
    <col min="8970" max="8970" width="9.75" style="43" customWidth="1"/>
    <col min="8971" max="8971" width="7.375" style="43" customWidth="1"/>
    <col min="8972" max="8972" width="9" style="43"/>
    <col min="8973" max="8973" width="9.25" style="43" customWidth="1"/>
    <col min="8974" max="8974" width="3.5" style="43" customWidth="1"/>
    <col min="8975" max="8976" width="12.625" style="43" customWidth="1"/>
    <col min="8977" max="8977" width="9" style="43"/>
    <col min="8978" max="8978" width="7.75" style="43" customWidth="1"/>
    <col min="8979" max="8979" width="13.125" style="43" customWidth="1"/>
    <col min="8980" max="8980" width="6.125" style="43" customWidth="1"/>
    <col min="8981" max="8981" width="9.75" style="43" customWidth="1"/>
    <col min="8982" max="8982" width="1.375" style="43" customWidth="1"/>
    <col min="8983" max="9222" width="9" style="43"/>
    <col min="9223" max="9223" width="1.375" style="43" customWidth="1"/>
    <col min="9224" max="9224" width="3.5" style="43" customWidth="1"/>
    <col min="9225" max="9225" width="22.125" style="43" customWidth="1"/>
    <col min="9226" max="9226" width="9.75" style="43" customWidth="1"/>
    <col min="9227" max="9227" width="7.375" style="43" customWidth="1"/>
    <col min="9228" max="9228" width="9" style="43"/>
    <col min="9229" max="9229" width="9.25" style="43" customWidth="1"/>
    <col min="9230" max="9230" width="3.5" style="43" customWidth="1"/>
    <col min="9231" max="9232" width="12.625" style="43" customWidth="1"/>
    <col min="9233" max="9233" width="9" style="43"/>
    <col min="9234" max="9234" width="7.75" style="43" customWidth="1"/>
    <col min="9235" max="9235" width="13.125" style="43" customWidth="1"/>
    <col min="9236" max="9236" width="6.125" style="43" customWidth="1"/>
    <col min="9237" max="9237" width="9.75" style="43" customWidth="1"/>
    <col min="9238" max="9238" width="1.375" style="43" customWidth="1"/>
    <col min="9239" max="9478" width="9" style="43"/>
    <col min="9479" max="9479" width="1.375" style="43" customWidth="1"/>
    <col min="9480" max="9480" width="3.5" style="43" customWidth="1"/>
    <col min="9481" max="9481" width="22.125" style="43" customWidth="1"/>
    <col min="9482" max="9482" width="9.75" style="43" customWidth="1"/>
    <col min="9483" max="9483" width="7.375" style="43" customWidth="1"/>
    <col min="9484" max="9484" width="9" style="43"/>
    <col min="9485" max="9485" width="9.25" style="43" customWidth="1"/>
    <col min="9486" max="9486" width="3.5" style="43" customWidth="1"/>
    <col min="9487" max="9488" width="12.625" style="43" customWidth="1"/>
    <col min="9489" max="9489" width="9" style="43"/>
    <col min="9490" max="9490" width="7.75" style="43" customWidth="1"/>
    <col min="9491" max="9491" width="13.125" style="43" customWidth="1"/>
    <col min="9492" max="9492" width="6.125" style="43" customWidth="1"/>
    <col min="9493" max="9493" width="9.75" style="43" customWidth="1"/>
    <col min="9494" max="9494" width="1.375" style="43" customWidth="1"/>
    <col min="9495" max="9734" width="9" style="43"/>
    <col min="9735" max="9735" width="1.375" style="43" customWidth="1"/>
    <col min="9736" max="9736" width="3.5" style="43" customWidth="1"/>
    <col min="9737" max="9737" width="22.125" style="43" customWidth="1"/>
    <col min="9738" max="9738" width="9.75" style="43" customWidth="1"/>
    <col min="9739" max="9739" width="7.375" style="43" customWidth="1"/>
    <col min="9740" max="9740" width="9" style="43"/>
    <col min="9741" max="9741" width="9.25" style="43" customWidth="1"/>
    <col min="9742" max="9742" width="3.5" style="43" customWidth="1"/>
    <col min="9743" max="9744" width="12.625" style="43" customWidth="1"/>
    <col min="9745" max="9745" width="9" style="43"/>
    <col min="9746" max="9746" width="7.75" style="43" customWidth="1"/>
    <col min="9747" max="9747" width="13.125" style="43" customWidth="1"/>
    <col min="9748" max="9748" width="6.125" style="43" customWidth="1"/>
    <col min="9749" max="9749" width="9.75" style="43" customWidth="1"/>
    <col min="9750" max="9750" width="1.375" style="43" customWidth="1"/>
    <col min="9751" max="9990" width="9" style="43"/>
    <col min="9991" max="9991" width="1.375" style="43" customWidth="1"/>
    <col min="9992" max="9992" width="3.5" style="43" customWidth="1"/>
    <col min="9993" max="9993" width="22.125" style="43" customWidth="1"/>
    <col min="9994" max="9994" width="9.75" style="43" customWidth="1"/>
    <col min="9995" max="9995" width="7.375" style="43" customWidth="1"/>
    <col min="9996" max="9996" width="9" style="43"/>
    <col min="9997" max="9997" width="9.25" style="43" customWidth="1"/>
    <col min="9998" max="9998" width="3.5" style="43" customWidth="1"/>
    <col min="9999" max="10000" width="12.625" style="43" customWidth="1"/>
    <col min="10001" max="10001" width="9" style="43"/>
    <col min="10002" max="10002" width="7.75" style="43" customWidth="1"/>
    <col min="10003" max="10003" width="13.125" style="43" customWidth="1"/>
    <col min="10004" max="10004" width="6.125" style="43" customWidth="1"/>
    <col min="10005" max="10005" width="9.75" style="43" customWidth="1"/>
    <col min="10006" max="10006" width="1.375" style="43" customWidth="1"/>
    <col min="10007" max="10246" width="9" style="43"/>
    <col min="10247" max="10247" width="1.375" style="43" customWidth="1"/>
    <col min="10248" max="10248" width="3.5" style="43" customWidth="1"/>
    <col min="10249" max="10249" width="22.125" style="43" customWidth="1"/>
    <col min="10250" max="10250" width="9.75" style="43" customWidth="1"/>
    <col min="10251" max="10251" width="7.375" style="43" customWidth="1"/>
    <col min="10252" max="10252" width="9" style="43"/>
    <col min="10253" max="10253" width="9.25" style="43" customWidth="1"/>
    <col min="10254" max="10254" width="3.5" style="43" customWidth="1"/>
    <col min="10255" max="10256" width="12.625" style="43" customWidth="1"/>
    <col min="10257" max="10257" width="9" style="43"/>
    <col min="10258" max="10258" width="7.75" style="43" customWidth="1"/>
    <col min="10259" max="10259" width="13.125" style="43" customWidth="1"/>
    <col min="10260" max="10260" width="6.125" style="43" customWidth="1"/>
    <col min="10261" max="10261" width="9.75" style="43" customWidth="1"/>
    <col min="10262" max="10262" width="1.375" style="43" customWidth="1"/>
    <col min="10263" max="10502" width="9" style="43"/>
    <col min="10503" max="10503" width="1.375" style="43" customWidth="1"/>
    <col min="10504" max="10504" width="3.5" style="43" customWidth="1"/>
    <col min="10505" max="10505" width="22.125" style="43" customWidth="1"/>
    <col min="10506" max="10506" width="9.75" style="43" customWidth="1"/>
    <col min="10507" max="10507" width="7.375" style="43" customWidth="1"/>
    <col min="10508" max="10508" width="9" style="43"/>
    <col min="10509" max="10509" width="9.25" style="43" customWidth="1"/>
    <col min="10510" max="10510" width="3.5" style="43" customWidth="1"/>
    <col min="10511" max="10512" width="12.625" style="43" customWidth="1"/>
    <col min="10513" max="10513" width="9" style="43"/>
    <col min="10514" max="10514" width="7.75" style="43" customWidth="1"/>
    <col min="10515" max="10515" width="13.125" style="43" customWidth="1"/>
    <col min="10516" max="10516" width="6.125" style="43" customWidth="1"/>
    <col min="10517" max="10517" width="9.75" style="43" customWidth="1"/>
    <col min="10518" max="10518" width="1.375" style="43" customWidth="1"/>
    <col min="10519" max="10758" width="9" style="43"/>
    <col min="10759" max="10759" width="1.375" style="43" customWidth="1"/>
    <col min="10760" max="10760" width="3.5" style="43" customWidth="1"/>
    <col min="10761" max="10761" width="22.125" style="43" customWidth="1"/>
    <col min="10762" max="10762" width="9.75" style="43" customWidth="1"/>
    <col min="10763" max="10763" width="7.375" style="43" customWidth="1"/>
    <col min="10764" max="10764" width="9" style="43"/>
    <col min="10765" max="10765" width="9.25" style="43" customWidth="1"/>
    <col min="10766" max="10766" width="3.5" style="43" customWidth="1"/>
    <col min="10767" max="10768" width="12.625" style="43" customWidth="1"/>
    <col min="10769" max="10769" width="9" style="43"/>
    <col min="10770" max="10770" width="7.75" style="43" customWidth="1"/>
    <col min="10771" max="10771" width="13.125" style="43" customWidth="1"/>
    <col min="10772" max="10772" width="6.125" style="43" customWidth="1"/>
    <col min="10773" max="10773" width="9.75" style="43" customWidth="1"/>
    <col min="10774" max="10774" width="1.375" style="43" customWidth="1"/>
    <col min="10775" max="11014" width="9" style="43"/>
    <col min="11015" max="11015" width="1.375" style="43" customWidth="1"/>
    <col min="11016" max="11016" width="3.5" style="43" customWidth="1"/>
    <col min="11017" max="11017" width="22.125" style="43" customWidth="1"/>
    <col min="11018" max="11018" width="9.75" style="43" customWidth="1"/>
    <col min="11019" max="11019" width="7.375" style="43" customWidth="1"/>
    <col min="11020" max="11020" width="9" style="43"/>
    <col min="11021" max="11021" width="9.25" style="43" customWidth="1"/>
    <col min="11022" max="11022" width="3.5" style="43" customWidth="1"/>
    <col min="11023" max="11024" width="12.625" style="43" customWidth="1"/>
    <col min="11025" max="11025" width="9" style="43"/>
    <col min="11026" max="11026" width="7.75" style="43" customWidth="1"/>
    <col min="11027" max="11027" width="13.125" style="43" customWidth="1"/>
    <col min="11028" max="11028" width="6.125" style="43" customWidth="1"/>
    <col min="11029" max="11029" width="9.75" style="43" customWidth="1"/>
    <col min="11030" max="11030" width="1.375" style="43" customWidth="1"/>
    <col min="11031" max="11270" width="9" style="43"/>
    <col min="11271" max="11271" width="1.375" style="43" customWidth="1"/>
    <col min="11272" max="11272" width="3.5" style="43" customWidth="1"/>
    <col min="11273" max="11273" width="22.125" style="43" customWidth="1"/>
    <col min="11274" max="11274" width="9.75" style="43" customWidth="1"/>
    <col min="11275" max="11275" width="7.375" style="43" customWidth="1"/>
    <col min="11276" max="11276" width="9" style="43"/>
    <col min="11277" max="11277" width="9.25" style="43" customWidth="1"/>
    <col min="11278" max="11278" width="3.5" style="43" customWidth="1"/>
    <col min="11279" max="11280" width="12.625" style="43" customWidth="1"/>
    <col min="11281" max="11281" width="9" style="43"/>
    <col min="11282" max="11282" width="7.75" style="43" customWidth="1"/>
    <col min="11283" max="11283" width="13.125" style="43" customWidth="1"/>
    <col min="11284" max="11284" width="6.125" style="43" customWidth="1"/>
    <col min="11285" max="11285" width="9.75" style="43" customWidth="1"/>
    <col min="11286" max="11286" width="1.375" style="43" customWidth="1"/>
    <col min="11287" max="11526" width="9" style="43"/>
    <col min="11527" max="11527" width="1.375" style="43" customWidth="1"/>
    <col min="11528" max="11528" width="3.5" style="43" customWidth="1"/>
    <col min="11529" max="11529" width="22.125" style="43" customWidth="1"/>
    <col min="11530" max="11530" width="9.75" style="43" customWidth="1"/>
    <col min="11531" max="11531" width="7.375" style="43" customWidth="1"/>
    <col min="11532" max="11532" width="9" style="43"/>
    <col min="11533" max="11533" width="9.25" style="43" customWidth="1"/>
    <col min="11534" max="11534" width="3.5" style="43" customWidth="1"/>
    <col min="11535" max="11536" width="12.625" style="43" customWidth="1"/>
    <col min="11537" max="11537" width="9" style="43"/>
    <col min="11538" max="11538" width="7.75" style="43" customWidth="1"/>
    <col min="11539" max="11539" width="13.125" style="43" customWidth="1"/>
    <col min="11540" max="11540" width="6.125" style="43" customWidth="1"/>
    <col min="11541" max="11541" width="9.75" style="43" customWidth="1"/>
    <col min="11542" max="11542" width="1.375" style="43" customWidth="1"/>
    <col min="11543" max="11782" width="9" style="43"/>
    <col min="11783" max="11783" width="1.375" style="43" customWidth="1"/>
    <col min="11784" max="11784" width="3.5" style="43" customWidth="1"/>
    <col min="11785" max="11785" width="22.125" style="43" customWidth="1"/>
    <col min="11786" max="11786" width="9.75" style="43" customWidth="1"/>
    <col min="11787" max="11787" width="7.375" style="43" customWidth="1"/>
    <col min="11788" max="11788" width="9" style="43"/>
    <col min="11789" max="11789" width="9.25" style="43" customWidth="1"/>
    <col min="11790" max="11790" width="3.5" style="43" customWidth="1"/>
    <col min="11791" max="11792" width="12.625" style="43" customWidth="1"/>
    <col min="11793" max="11793" width="9" style="43"/>
    <col min="11794" max="11794" width="7.75" style="43" customWidth="1"/>
    <col min="11795" max="11795" width="13.125" style="43" customWidth="1"/>
    <col min="11796" max="11796" width="6.125" style="43" customWidth="1"/>
    <col min="11797" max="11797" width="9.75" style="43" customWidth="1"/>
    <col min="11798" max="11798" width="1.375" style="43" customWidth="1"/>
    <col min="11799" max="12038" width="9" style="43"/>
    <col min="12039" max="12039" width="1.375" style="43" customWidth="1"/>
    <col min="12040" max="12040" width="3.5" style="43" customWidth="1"/>
    <col min="12041" max="12041" width="22.125" style="43" customWidth="1"/>
    <col min="12042" max="12042" width="9.75" style="43" customWidth="1"/>
    <col min="12043" max="12043" width="7.375" style="43" customWidth="1"/>
    <col min="12044" max="12044" width="9" style="43"/>
    <col min="12045" max="12045" width="9.25" style="43" customWidth="1"/>
    <col min="12046" max="12046" width="3.5" style="43" customWidth="1"/>
    <col min="12047" max="12048" width="12.625" style="43" customWidth="1"/>
    <col min="12049" max="12049" width="9" style="43"/>
    <col min="12050" max="12050" width="7.75" style="43" customWidth="1"/>
    <col min="12051" max="12051" width="13.125" style="43" customWidth="1"/>
    <col min="12052" max="12052" width="6.125" style="43" customWidth="1"/>
    <col min="12053" max="12053" width="9.75" style="43" customWidth="1"/>
    <col min="12054" max="12054" width="1.375" style="43" customWidth="1"/>
    <col min="12055" max="12294" width="9" style="43"/>
    <col min="12295" max="12295" width="1.375" style="43" customWidth="1"/>
    <col min="12296" max="12296" width="3.5" style="43" customWidth="1"/>
    <col min="12297" max="12297" width="22.125" style="43" customWidth="1"/>
    <col min="12298" max="12298" width="9.75" style="43" customWidth="1"/>
    <col min="12299" max="12299" width="7.375" style="43" customWidth="1"/>
    <col min="12300" max="12300" width="9" style="43"/>
    <col min="12301" max="12301" width="9.25" style="43" customWidth="1"/>
    <col min="12302" max="12302" width="3.5" style="43" customWidth="1"/>
    <col min="12303" max="12304" width="12.625" style="43" customWidth="1"/>
    <col min="12305" max="12305" width="9" style="43"/>
    <col min="12306" max="12306" width="7.75" style="43" customWidth="1"/>
    <col min="12307" max="12307" width="13.125" style="43" customWidth="1"/>
    <col min="12308" max="12308" width="6.125" style="43" customWidth="1"/>
    <col min="12309" max="12309" width="9.75" style="43" customWidth="1"/>
    <col min="12310" max="12310" width="1.375" style="43" customWidth="1"/>
    <col min="12311" max="12550" width="9" style="43"/>
    <col min="12551" max="12551" width="1.375" style="43" customWidth="1"/>
    <col min="12552" max="12552" width="3.5" style="43" customWidth="1"/>
    <col min="12553" max="12553" width="22.125" style="43" customWidth="1"/>
    <col min="12554" max="12554" width="9.75" style="43" customWidth="1"/>
    <col min="12555" max="12555" width="7.375" style="43" customWidth="1"/>
    <col min="12556" max="12556" width="9" style="43"/>
    <col min="12557" max="12557" width="9.25" style="43" customWidth="1"/>
    <col min="12558" max="12558" width="3.5" style="43" customWidth="1"/>
    <col min="12559" max="12560" width="12.625" style="43" customWidth="1"/>
    <col min="12561" max="12561" width="9" style="43"/>
    <col min="12562" max="12562" width="7.75" style="43" customWidth="1"/>
    <col min="12563" max="12563" width="13.125" style="43" customWidth="1"/>
    <col min="12564" max="12564" width="6.125" style="43" customWidth="1"/>
    <col min="12565" max="12565" width="9.75" style="43" customWidth="1"/>
    <col min="12566" max="12566" width="1.375" style="43" customWidth="1"/>
    <col min="12567" max="12806" width="9" style="43"/>
    <col min="12807" max="12807" width="1.375" style="43" customWidth="1"/>
    <col min="12808" max="12808" width="3.5" style="43" customWidth="1"/>
    <col min="12809" max="12809" width="22.125" style="43" customWidth="1"/>
    <col min="12810" max="12810" width="9.75" style="43" customWidth="1"/>
    <col min="12811" max="12811" width="7.375" style="43" customWidth="1"/>
    <col min="12812" max="12812" width="9" style="43"/>
    <col min="12813" max="12813" width="9.25" style="43" customWidth="1"/>
    <col min="12814" max="12814" width="3.5" style="43" customWidth="1"/>
    <col min="12815" max="12816" width="12.625" style="43" customWidth="1"/>
    <col min="12817" max="12817" width="9" style="43"/>
    <col min="12818" max="12818" width="7.75" style="43" customWidth="1"/>
    <col min="12819" max="12819" width="13.125" style="43" customWidth="1"/>
    <col min="12820" max="12820" width="6.125" style="43" customWidth="1"/>
    <col min="12821" max="12821" width="9.75" style="43" customWidth="1"/>
    <col min="12822" max="12822" width="1.375" style="43" customWidth="1"/>
    <col min="12823" max="13062" width="9" style="43"/>
    <col min="13063" max="13063" width="1.375" style="43" customWidth="1"/>
    <col min="13064" max="13064" width="3.5" style="43" customWidth="1"/>
    <col min="13065" max="13065" width="22.125" style="43" customWidth="1"/>
    <col min="13066" max="13066" width="9.75" style="43" customWidth="1"/>
    <col min="13067" max="13067" width="7.375" style="43" customWidth="1"/>
    <col min="13068" max="13068" width="9" style="43"/>
    <col min="13069" max="13069" width="9.25" style="43" customWidth="1"/>
    <col min="13070" max="13070" width="3.5" style="43" customWidth="1"/>
    <col min="13071" max="13072" width="12.625" style="43" customWidth="1"/>
    <col min="13073" max="13073" width="9" style="43"/>
    <col min="13074" max="13074" width="7.75" style="43" customWidth="1"/>
    <col min="13075" max="13075" width="13.125" style="43" customWidth="1"/>
    <col min="13076" max="13076" width="6.125" style="43" customWidth="1"/>
    <col min="13077" max="13077" width="9.75" style="43" customWidth="1"/>
    <col min="13078" max="13078" width="1.375" style="43" customWidth="1"/>
    <col min="13079" max="13318" width="9" style="43"/>
    <col min="13319" max="13319" width="1.375" style="43" customWidth="1"/>
    <col min="13320" max="13320" width="3.5" style="43" customWidth="1"/>
    <col min="13321" max="13321" width="22.125" style="43" customWidth="1"/>
    <col min="13322" max="13322" width="9.75" style="43" customWidth="1"/>
    <col min="13323" max="13323" width="7.375" style="43" customWidth="1"/>
    <col min="13324" max="13324" width="9" style="43"/>
    <col min="13325" max="13325" width="9.25" style="43" customWidth="1"/>
    <col min="13326" max="13326" width="3.5" style="43" customWidth="1"/>
    <col min="13327" max="13328" width="12.625" style="43" customWidth="1"/>
    <col min="13329" max="13329" width="9" style="43"/>
    <col min="13330" max="13330" width="7.75" style="43" customWidth="1"/>
    <col min="13331" max="13331" width="13.125" style="43" customWidth="1"/>
    <col min="13332" max="13332" width="6.125" style="43" customWidth="1"/>
    <col min="13333" max="13333" width="9.75" style="43" customWidth="1"/>
    <col min="13334" max="13334" width="1.375" style="43" customWidth="1"/>
    <col min="13335" max="13574" width="9" style="43"/>
    <col min="13575" max="13575" width="1.375" style="43" customWidth="1"/>
    <col min="13576" max="13576" width="3.5" style="43" customWidth="1"/>
    <col min="13577" max="13577" width="22.125" style="43" customWidth="1"/>
    <col min="13578" max="13578" width="9.75" style="43" customWidth="1"/>
    <col min="13579" max="13579" width="7.375" style="43" customWidth="1"/>
    <col min="13580" max="13580" width="9" style="43"/>
    <col min="13581" max="13581" width="9.25" style="43" customWidth="1"/>
    <col min="13582" max="13582" width="3.5" style="43" customWidth="1"/>
    <col min="13583" max="13584" width="12.625" style="43" customWidth="1"/>
    <col min="13585" max="13585" width="9" style="43"/>
    <col min="13586" max="13586" width="7.75" style="43" customWidth="1"/>
    <col min="13587" max="13587" width="13.125" style="43" customWidth="1"/>
    <col min="13588" max="13588" width="6.125" style="43" customWidth="1"/>
    <col min="13589" max="13589" width="9.75" style="43" customWidth="1"/>
    <col min="13590" max="13590" width="1.375" style="43" customWidth="1"/>
    <col min="13591" max="13830" width="9" style="43"/>
    <col min="13831" max="13831" width="1.375" style="43" customWidth="1"/>
    <col min="13832" max="13832" width="3.5" style="43" customWidth="1"/>
    <col min="13833" max="13833" width="22.125" style="43" customWidth="1"/>
    <col min="13834" max="13834" width="9.75" style="43" customWidth="1"/>
    <col min="13835" max="13835" width="7.375" style="43" customWidth="1"/>
    <col min="13836" max="13836" width="9" style="43"/>
    <col min="13837" max="13837" width="9.25" style="43" customWidth="1"/>
    <col min="13838" max="13838" width="3.5" style="43" customWidth="1"/>
    <col min="13839" max="13840" width="12.625" style="43" customWidth="1"/>
    <col min="13841" max="13841" width="9" style="43"/>
    <col min="13842" max="13842" width="7.75" style="43" customWidth="1"/>
    <col min="13843" max="13843" width="13.125" style="43" customWidth="1"/>
    <col min="13844" max="13844" width="6.125" style="43" customWidth="1"/>
    <col min="13845" max="13845" width="9.75" style="43" customWidth="1"/>
    <col min="13846" max="13846" width="1.375" style="43" customWidth="1"/>
    <col min="13847" max="14086" width="9" style="43"/>
    <col min="14087" max="14087" width="1.375" style="43" customWidth="1"/>
    <col min="14088" max="14088" width="3.5" style="43" customWidth="1"/>
    <col min="14089" max="14089" width="22.125" style="43" customWidth="1"/>
    <col min="14090" max="14090" width="9.75" style="43" customWidth="1"/>
    <col min="14091" max="14091" width="7.375" style="43" customWidth="1"/>
    <col min="14092" max="14092" width="9" style="43"/>
    <col min="14093" max="14093" width="9.25" style="43" customWidth="1"/>
    <col min="14094" max="14094" width="3.5" style="43" customWidth="1"/>
    <col min="14095" max="14096" width="12.625" style="43" customWidth="1"/>
    <col min="14097" max="14097" width="9" style="43"/>
    <col min="14098" max="14098" width="7.75" style="43" customWidth="1"/>
    <col min="14099" max="14099" width="13.125" style="43" customWidth="1"/>
    <col min="14100" max="14100" width="6.125" style="43" customWidth="1"/>
    <col min="14101" max="14101" width="9.75" style="43" customWidth="1"/>
    <col min="14102" max="14102" width="1.375" style="43" customWidth="1"/>
    <col min="14103" max="14342" width="9" style="43"/>
    <col min="14343" max="14343" width="1.375" style="43" customWidth="1"/>
    <col min="14344" max="14344" width="3.5" style="43" customWidth="1"/>
    <col min="14345" max="14345" width="22.125" style="43" customWidth="1"/>
    <col min="14346" max="14346" width="9.75" style="43" customWidth="1"/>
    <col min="14347" max="14347" width="7.375" style="43" customWidth="1"/>
    <col min="14348" max="14348" width="9" style="43"/>
    <col min="14349" max="14349" width="9.25" style="43" customWidth="1"/>
    <col min="14350" max="14350" width="3.5" style="43" customWidth="1"/>
    <col min="14351" max="14352" width="12.625" style="43" customWidth="1"/>
    <col min="14353" max="14353" width="9" style="43"/>
    <col min="14354" max="14354" width="7.75" style="43" customWidth="1"/>
    <col min="14355" max="14355" width="13.125" style="43" customWidth="1"/>
    <col min="14356" max="14356" width="6.125" style="43" customWidth="1"/>
    <col min="14357" max="14357" width="9.75" style="43" customWidth="1"/>
    <col min="14358" max="14358" width="1.375" style="43" customWidth="1"/>
    <col min="14359" max="14598" width="9" style="43"/>
    <col min="14599" max="14599" width="1.375" style="43" customWidth="1"/>
    <col min="14600" max="14600" width="3.5" style="43" customWidth="1"/>
    <col min="14601" max="14601" width="22.125" style="43" customWidth="1"/>
    <col min="14602" max="14602" width="9.75" style="43" customWidth="1"/>
    <col min="14603" max="14603" width="7.375" style="43" customWidth="1"/>
    <col min="14604" max="14604" width="9" style="43"/>
    <col min="14605" max="14605" width="9.25" style="43" customWidth="1"/>
    <col min="14606" max="14606" width="3.5" style="43" customWidth="1"/>
    <col min="14607" max="14608" width="12.625" style="43" customWidth="1"/>
    <col min="14609" max="14609" width="9" style="43"/>
    <col min="14610" max="14610" width="7.75" style="43" customWidth="1"/>
    <col min="14611" max="14611" width="13.125" style="43" customWidth="1"/>
    <col min="14612" max="14612" width="6.125" style="43" customWidth="1"/>
    <col min="14613" max="14613" width="9.75" style="43" customWidth="1"/>
    <col min="14614" max="14614" width="1.375" style="43" customWidth="1"/>
    <col min="14615" max="14854" width="9" style="43"/>
    <col min="14855" max="14855" width="1.375" style="43" customWidth="1"/>
    <col min="14856" max="14856" width="3.5" style="43" customWidth="1"/>
    <col min="14857" max="14857" width="22.125" style="43" customWidth="1"/>
    <col min="14858" max="14858" width="9.75" style="43" customWidth="1"/>
    <col min="14859" max="14859" width="7.375" style="43" customWidth="1"/>
    <col min="14860" max="14860" width="9" style="43"/>
    <col min="14861" max="14861" width="9.25" style="43" customWidth="1"/>
    <col min="14862" max="14862" width="3.5" style="43" customWidth="1"/>
    <col min="14863" max="14864" width="12.625" style="43" customWidth="1"/>
    <col min="14865" max="14865" width="9" style="43"/>
    <col min="14866" max="14866" width="7.75" style="43" customWidth="1"/>
    <col min="14867" max="14867" width="13.125" style="43" customWidth="1"/>
    <col min="14868" max="14868" width="6.125" style="43" customWidth="1"/>
    <col min="14869" max="14869" width="9.75" style="43" customWidth="1"/>
    <col min="14870" max="14870" width="1.375" style="43" customWidth="1"/>
    <col min="14871" max="15110" width="9" style="43"/>
    <col min="15111" max="15111" width="1.375" style="43" customWidth="1"/>
    <col min="15112" max="15112" width="3.5" style="43" customWidth="1"/>
    <col min="15113" max="15113" width="22.125" style="43" customWidth="1"/>
    <col min="15114" max="15114" width="9.75" style="43" customWidth="1"/>
    <col min="15115" max="15115" width="7.375" style="43" customWidth="1"/>
    <col min="15116" max="15116" width="9" style="43"/>
    <col min="15117" max="15117" width="9.25" style="43" customWidth="1"/>
    <col min="15118" max="15118" width="3.5" style="43" customWidth="1"/>
    <col min="15119" max="15120" width="12.625" style="43" customWidth="1"/>
    <col min="15121" max="15121" width="9" style="43"/>
    <col min="15122" max="15122" width="7.75" style="43" customWidth="1"/>
    <col min="15123" max="15123" width="13.125" style="43" customWidth="1"/>
    <col min="15124" max="15124" width="6.125" style="43" customWidth="1"/>
    <col min="15125" max="15125" width="9.75" style="43" customWidth="1"/>
    <col min="15126" max="15126" width="1.375" style="43" customWidth="1"/>
    <col min="15127" max="15366" width="9" style="43"/>
    <col min="15367" max="15367" width="1.375" style="43" customWidth="1"/>
    <col min="15368" max="15368" width="3.5" style="43" customWidth="1"/>
    <col min="15369" max="15369" width="22.125" style="43" customWidth="1"/>
    <col min="15370" max="15370" width="9.75" style="43" customWidth="1"/>
    <col min="15371" max="15371" width="7.375" style="43" customWidth="1"/>
    <col min="15372" max="15372" width="9" style="43"/>
    <col min="15373" max="15373" width="9.25" style="43" customWidth="1"/>
    <col min="15374" max="15374" width="3.5" style="43" customWidth="1"/>
    <col min="15375" max="15376" width="12.625" style="43" customWidth="1"/>
    <col min="15377" max="15377" width="9" style="43"/>
    <col min="15378" max="15378" width="7.75" style="43" customWidth="1"/>
    <col min="15379" max="15379" width="13.125" style="43" customWidth="1"/>
    <col min="15380" max="15380" width="6.125" style="43" customWidth="1"/>
    <col min="15381" max="15381" width="9.75" style="43" customWidth="1"/>
    <col min="15382" max="15382" width="1.375" style="43" customWidth="1"/>
    <col min="15383" max="15622" width="9" style="43"/>
    <col min="15623" max="15623" width="1.375" style="43" customWidth="1"/>
    <col min="15624" max="15624" width="3.5" style="43" customWidth="1"/>
    <col min="15625" max="15625" width="22.125" style="43" customWidth="1"/>
    <col min="15626" max="15626" width="9.75" style="43" customWidth="1"/>
    <col min="15627" max="15627" width="7.375" style="43" customWidth="1"/>
    <col min="15628" max="15628" width="9" style="43"/>
    <col min="15629" max="15629" width="9.25" style="43" customWidth="1"/>
    <col min="15630" max="15630" width="3.5" style="43" customWidth="1"/>
    <col min="15631" max="15632" width="12.625" style="43" customWidth="1"/>
    <col min="15633" max="15633" width="9" style="43"/>
    <col min="15634" max="15634" width="7.75" style="43" customWidth="1"/>
    <col min="15635" max="15635" width="13.125" style="43" customWidth="1"/>
    <col min="15636" max="15636" width="6.125" style="43" customWidth="1"/>
    <col min="15637" max="15637" width="9.75" style="43" customWidth="1"/>
    <col min="15638" max="15638" width="1.375" style="43" customWidth="1"/>
    <col min="15639" max="15878" width="9" style="43"/>
    <col min="15879" max="15879" width="1.375" style="43" customWidth="1"/>
    <col min="15880" max="15880" width="3.5" style="43" customWidth="1"/>
    <col min="15881" max="15881" width="22.125" style="43" customWidth="1"/>
    <col min="15882" max="15882" width="9.75" style="43" customWidth="1"/>
    <col min="15883" max="15883" width="7.375" style="43" customWidth="1"/>
    <col min="15884" max="15884" width="9" style="43"/>
    <col min="15885" max="15885" width="9.25" style="43" customWidth="1"/>
    <col min="15886" max="15886" width="3.5" style="43" customWidth="1"/>
    <col min="15887" max="15888" width="12.625" style="43" customWidth="1"/>
    <col min="15889" max="15889" width="9" style="43"/>
    <col min="15890" max="15890" width="7.75" style="43" customWidth="1"/>
    <col min="15891" max="15891" width="13.125" style="43" customWidth="1"/>
    <col min="15892" max="15892" width="6.125" style="43" customWidth="1"/>
    <col min="15893" max="15893" width="9.75" style="43" customWidth="1"/>
    <col min="15894" max="15894" width="1.375" style="43" customWidth="1"/>
    <col min="15895" max="16134" width="9" style="43"/>
    <col min="16135" max="16135" width="1.375" style="43" customWidth="1"/>
    <col min="16136" max="16136" width="3.5" style="43" customWidth="1"/>
    <col min="16137" max="16137" width="22.125" style="43" customWidth="1"/>
    <col min="16138" max="16138" width="9.75" style="43" customWidth="1"/>
    <col min="16139" max="16139" width="7.375" style="43" customWidth="1"/>
    <col min="16140" max="16140" width="9" style="43"/>
    <col min="16141" max="16141" width="9.25" style="43" customWidth="1"/>
    <col min="16142" max="16142" width="3.5" style="43" customWidth="1"/>
    <col min="16143" max="16144" width="12.625" style="43" customWidth="1"/>
    <col min="16145" max="16145" width="9" style="43"/>
    <col min="16146" max="16146" width="7.75" style="43" customWidth="1"/>
    <col min="16147" max="16147" width="13.125" style="43" customWidth="1"/>
    <col min="16148" max="16148" width="6.125" style="43" customWidth="1"/>
    <col min="16149" max="16149" width="9.75" style="43" customWidth="1"/>
    <col min="16150" max="16150" width="1.375" style="43" customWidth="1"/>
    <col min="16151" max="16384" width="9" style="43"/>
  </cols>
  <sheetData>
    <row r="2" spans="2:23" x14ac:dyDescent="0.15">
      <c r="B2" s="43" t="s">
        <v>423</v>
      </c>
      <c r="C2" s="45"/>
      <c r="D2" s="4"/>
      <c r="E2" s="4"/>
      <c r="F2" s="45"/>
      <c r="G2" s="100"/>
      <c r="H2" s="110"/>
      <c r="I2" s="100"/>
      <c r="J2" s="100"/>
      <c r="K2" s="100"/>
      <c r="L2" s="100"/>
      <c r="M2" s="100"/>
      <c r="N2" s="100"/>
      <c r="O2" s="4"/>
    </row>
    <row r="3" spans="2:23" ht="14.25" thickBot="1" x14ac:dyDescent="0.2">
      <c r="B3" s="43" t="s">
        <v>205</v>
      </c>
      <c r="I3" s="4" t="s">
        <v>206</v>
      </c>
      <c r="P3" s="43" t="s">
        <v>227</v>
      </c>
    </row>
    <row r="4" spans="2:23" x14ac:dyDescent="0.15">
      <c r="B4" s="357" t="s">
        <v>91</v>
      </c>
      <c r="C4" s="358" t="s">
        <v>167</v>
      </c>
      <c r="D4" s="358" t="s">
        <v>146</v>
      </c>
      <c r="E4" s="358" t="s">
        <v>147</v>
      </c>
      <c r="F4" s="359" t="s">
        <v>24</v>
      </c>
      <c r="G4" s="360" t="s">
        <v>148</v>
      </c>
      <c r="H4" s="145"/>
      <c r="I4" s="1191" t="s">
        <v>91</v>
      </c>
      <c r="J4" s="1189" t="s">
        <v>171</v>
      </c>
      <c r="K4" s="361" t="s">
        <v>393</v>
      </c>
      <c r="L4" s="361" t="s">
        <v>149</v>
      </c>
      <c r="M4" s="1185" t="s">
        <v>24</v>
      </c>
      <c r="N4" s="1187" t="s">
        <v>148</v>
      </c>
      <c r="O4" s="163"/>
      <c r="P4" s="362" t="s">
        <v>174</v>
      </c>
      <c r="Q4" s="363" t="s">
        <v>175</v>
      </c>
      <c r="R4" s="363" t="s">
        <v>176</v>
      </c>
      <c r="S4" s="363" t="s">
        <v>394</v>
      </c>
      <c r="T4" s="1193" t="s">
        <v>177</v>
      </c>
      <c r="U4" s="1075"/>
      <c r="V4" s="364" t="s">
        <v>178</v>
      </c>
    </row>
    <row r="5" spans="2:23" x14ac:dyDescent="0.15">
      <c r="B5" s="1025" t="s">
        <v>162</v>
      </c>
      <c r="C5" s="404"/>
      <c r="D5" s="401"/>
      <c r="E5" s="402"/>
      <c r="F5" s="404"/>
      <c r="G5" s="134"/>
      <c r="H5" s="146"/>
      <c r="I5" s="1192"/>
      <c r="J5" s="1190"/>
      <c r="K5" s="666" t="s">
        <v>150</v>
      </c>
      <c r="L5" s="666" t="s">
        <v>258</v>
      </c>
      <c r="M5" s="1186"/>
      <c r="N5" s="1188"/>
      <c r="O5" s="163"/>
      <c r="P5" s="588" t="s">
        <v>395</v>
      </c>
      <c r="Q5" s="578"/>
      <c r="R5" s="589" t="s">
        <v>421</v>
      </c>
      <c r="S5" s="578"/>
      <c r="T5" s="1194" t="s">
        <v>397</v>
      </c>
      <c r="U5" s="1195"/>
      <c r="V5" s="590">
        <v>5806.666666666667</v>
      </c>
      <c r="W5" s="667" t="s">
        <v>398</v>
      </c>
    </row>
    <row r="6" spans="2:23" x14ac:dyDescent="0.15">
      <c r="B6" s="985"/>
      <c r="C6" s="401"/>
      <c r="D6" s="401"/>
      <c r="E6" s="402"/>
      <c r="F6" s="401"/>
      <c r="G6" s="403"/>
      <c r="H6" s="146"/>
      <c r="I6" s="1240" t="s">
        <v>170</v>
      </c>
      <c r="J6" s="401" t="s">
        <v>702</v>
      </c>
      <c r="K6" s="405">
        <v>8.36</v>
      </c>
      <c r="L6" s="405">
        <v>13</v>
      </c>
      <c r="M6" s="405">
        <v>84.7</v>
      </c>
      <c r="N6" s="406">
        <f>K6*L6*M6</f>
        <v>9205.1959999999999</v>
      </c>
      <c r="O6" s="163"/>
      <c r="P6" s="235"/>
      <c r="Q6" s="133"/>
      <c r="R6" s="577"/>
      <c r="S6" s="133"/>
      <c r="T6" s="1169"/>
      <c r="U6" s="1170"/>
      <c r="V6" s="156"/>
    </row>
    <row r="7" spans="2:23" ht="14.25" thickBot="1" x14ac:dyDescent="0.2">
      <c r="B7" s="1198"/>
      <c r="C7" s="136" t="s">
        <v>151</v>
      </c>
      <c r="D7" s="136"/>
      <c r="E7" s="136"/>
      <c r="F7" s="136"/>
      <c r="G7" s="137">
        <f>SUM(G5:G6)</f>
        <v>0</v>
      </c>
      <c r="H7" s="146"/>
      <c r="I7" s="1220"/>
      <c r="J7" s="401" t="s">
        <v>703</v>
      </c>
      <c r="K7" s="407">
        <v>2.62</v>
      </c>
      <c r="L7" s="405">
        <f>5+6.5</f>
        <v>11.5</v>
      </c>
      <c r="M7" s="405">
        <v>84.7</v>
      </c>
      <c r="N7" s="406">
        <f t="shared" ref="N7:N9" si="0">K7*L7*M7</f>
        <v>2552.0110000000004</v>
      </c>
      <c r="O7" s="163"/>
      <c r="P7" s="235"/>
      <c r="Q7" s="133"/>
      <c r="R7" s="577"/>
      <c r="S7" s="133"/>
      <c r="T7" s="1169"/>
      <c r="U7" s="1170"/>
      <c r="V7" s="156"/>
    </row>
    <row r="8" spans="2:23" ht="14.25" thickTop="1" x14ac:dyDescent="0.15">
      <c r="B8" s="1196" t="s">
        <v>160</v>
      </c>
      <c r="C8" s="389" t="s">
        <v>780</v>
      </c>
      <c r="D8" s="401">
        <v>10</v>
      </c>
      <c r="E8" s="402" t="s">
        <v>399</v>
      </c>
      <c r="F8" s="401">
        <v>3840</v>
      </c>
      <c r="G8" s="403">
        <f>D8*F8</f>
        <v>38400</v>
      </c>
      <c r="H8" s="146"/>
      <c r="I8" s="1220"/>
      <c r="J8" s="401" t="s">
        <v>704</v>
      </c>
      <c r="K8" s="405">
        <v>1.2</v>
      </c>
      <c r="L8" s="405">
        <v>3</v>
      </c>
      <c r="M8" s="405">
        <v>84.7</v>
      </c>
      <c r="N8" s="406">
        <f t="shared" si="0"/>
        <v>304.91999999999996</v>
      </c>
      <c r="O8" s="163"/>
      <c r="P8" s="235"/>
      <c r="Q8" s="133"/>
      <c r="R8" s="577"/>
      <c r="S8" s="133"/>
      <c r="T8" s="1169"/>
      <c r="U8" s="1170"/>
      <c r="V8" s="156"/>
    </row>
    <row r="9" spans="2:23" x14ac:dyDescent="0.15">
      <c r="B9" s="985"/>
      <c r="C9" s="389"/>
      <c r="D9" s="401"/>
      <c r="E9" s="402"/>
      <c r="F9" s="401"/>
      <c r="G9" s="403"/>
      <c r="H9" s="146"/>
      <c r="I9" s="1220"/>
      <c r="J9" s="365" t="s">
        <v>705</v>
      </c>
      <c r="K9" s="366">
        <v>4.2699999999999996</v>
      </c>
      <c r="L9" s="367">
        <v>5</v>
      </c>
      <c r="M9" s="405">
        <v>84.7</v>
      </c>
      <c r="N9" s="368">
        <f t="shared" si="0"/>
        <v>1808.3449999999998</v>
      </c>
      <c r="O9" s="163"/>
      <c r="P9" s="235"/>
      <c r="Q9" s="133"/>
      <c r="R9" s="577"/>
      <c r="S9" s="133"/>
      <c r="T9" s="1169"/>
      <c r="U9" s="1170"/>
      <c r="V9" s="156"/>
    </row>
    <row r="10" spans="2:23" x14ac:dyDescent="0.15">
      <c r="B10" s="985"/>
      <c r="C10" s="389"/>
      <c r="D10" s="401"/>
      <c r="E10" s="402"/>
      <c r="F10" s="401"/>
      <c r="G10" s="403"/>
      <c r="H10" s="146"/>
      <c r="I10" s="1220"/>
      <c r="J10" s="662" t="s">
        <v>706</v>
      </c>
      <c r="K10" s="663">
        <v>0.62</v>
      </c>
      <c r="L10" s="663">
        <v>3.5</v>
      </c>
      <c r="M10" s="664">
        <v>84.7</v>
      </c>
      <c r="N10" s="665">
        <f>K10*L10*M10</f>
        <v>183.79900000000001</v>
      </c>
      <c r="O10" s="163"/>
      <c r="P10" s="235"/>
      <c r="Q10" s="133"/>
      <c r="R10" s="577"/>
      <c r="S10" s="133"/>
      <c r="T10" s="579"/>
      <c r="U10" s="580"/>
      <c r="V10" s="156"/>
    </row>
    <row r="11" spans="2:23" ht="14.25" thickBot="1" x14ac:dyDescent="0.2">
      <c r="B11" s="1198"/>
      <c r="C11" s="138" t="s">
        <v>152</v>
      </c>
      <c r="D11" s="139"/>
      <c r="E11" s="139"/>
      <c r="F11" s="139"/>
      <c r="G11" s="140">
        <f>SUM(G8:G10)</f>
        <v>38400</v>
      </c>
      <c r="H11" s="146"/>
      <c r="I11" s="1220"/>
      <c r="J11" s="613"/>
      <c r="K11" s="613"/>
      <c r="L11" s="613"/>
      <c r="M11" s="613"/>
      <c r="N11" s="229"/>
      <c r="O11" s="163"/>
      <c r="P11" s="235"/>
      <c r="Q11" s="133"/>
      <c r="R11" s="577"/>
      <c r="S11" s="133"/>
      <c r="T11" s="1169"/>
      <c r="U11" s="1170"/>
      <c r="V11" s="156"/>
    </row>
    <row r="12" spans="2:23" ht="15" thickTop="1" thickBot="1" x14ac:dyDescent="0.2">
      <c r="B12" s="1196" t="s">
        <v>161</v>
      </c>
      <c r="C12" s="389" t="s">
        <v>763</v>
      </c>
      <c r="D12" s="401">
        <v>500</v>
      </c>
      <c r="E12" s="402" t="s">
        <v>424</v>
      </c>
      <c r="F12" s="404">
        <f>3220/20</f>
        <v>161</v>
      </c>
      <c r="G12" s="403">
        <f>D12*F12</f>
        <v>80500</v>
      </c>
      <c r="H12" s="146"/>
      <c r="I12" s="1221"/>
      <c r="J12" s="372" t="s">
        <v>425</v>
      </c>
      <c r="K12" s="373">
        <f>SUM(K6:K9)</f>
        <v>16.45</v>
      </c>
      <c r="L12" s="373">
        <f>SUM(L6:L10)</f>
        <v>36</v>
      </c>
      <c r="M12" s="373"/>
      <c r="N12" s="374">
        <f>SUM(N6:N10)</f>
        <v>14054.271000000001</v>
      </c>
      <c r="O12" s="163"/>
      <c r="P12" s="235"/>
      <c r="Q12" s="133"/>
      <c r="R12" s="577"/>
      <c r="S12" s="133"/>
      <c r="T12" s="1169"/>
      <c r="U12" s="1170"/>
      <c r="V12" s="156"/>
    </row>
    <row r="13" spans="2:23" ht="14.25" thickTop="1" x14ac:dyDescent="0.15">
      <c r="B13" s="985"/>
      <c r="C13" s="389"/>
      <c r="D13" s="401"/>
      <c r="E13" s="402"/>
      <c r="F13" s="401"/>
      <c r="G13" s="403"/>
      <c r="H13" s="146"/>
      <c r="I13" s="1162" t="s">
        <v>426</v>
      </c>
      <c r="J13" s="401" t="s">
        <v>707</v>
      </c>
      <c r="K13" s="405">
        <v>2.78</v>
      </c>
      <c r="L13" s="405">
        <v>3.3</v>
      </c>
      <c r="M13" s="405">
        <v>158.4</v>
      </c>
      <c r="N13" s="406">
        <f>K13*L13*M13</f>
        <v>1453.1615999999999</v>
      </c>
      <c r="O13" s="163"/>
      <c r="P13" s="235"/>
      <c r="Q13" s="133"/>
      <c r="R13" s="577"/>
      <c r="S13" s="133"/>
      <c r="T13" s="1169"/>
      <c r="U13" s="1170"/>
      <c r="V13" s="156"/>
    </row>
    <row r="14" spans="2:23" x14ac:dyDescent="0.15">
      <c r="B14" s="985"/>
      <c r="C14" s="389"/>
      <c r="D14" s="401"/>
      <c r="E14" s="402"/>
      <c r="F14" s="401"/>
      <c r="G14" s="403"/>
      <c r="H14" s="146"/>
      <c r="I14" s="1163"/>
      <c r="J14" s="401"/>
      <c r="K14" s="405"/>
      <c r="L14" s="405"/>
      <c r="M14" s="405"/>
      <c r="N14" s="673">
        <f t="shared" ref="N14:N15" si="1">K14*L14*M14</f>
        <v>0</v>
      </c>
      <c r="O14" s="163"/>
      <c r="P14" s="235"/>
      <c r="Q14" s="133"/>
      <c r="R14" s="577"/>
      <c r="S14" s="133"/>
      <c r="T14" s="1169"/>
      <c r="U14" s="1170"/>
      <c r="V14" s="156"/>
    </row>
    <row r="15" spans="2:23" x14ac:dyDescent="0.15">
      <c r="B15" s="985"/>
      <c r="C15" s="389"/>
      <c r="D15" s="401"/>
      <c r="E15" s="401"/>
      <c r="F15" s="401"/>
      <c r="G15" s="403"/>
      <c r="H15" s="146"/>
      <c r="I15" s="1163"/>
      <c r="J15" s="401"/>
      <c r="K15" s="405"/>
      <c r="L15" s="405"/>
      <c r="M15" s="405"/>
      <c r="N15" s="673">
        <f t="shared" si="1"/>
        <v>0</v>
      </c>
      <c r="O15" s="163"/>
      <c r="P15" s="235"/>
      <c r="Q15" s="133"/>
      <c r="R15" s="577"/>
      <c r="S15" s="133"/>
      <c r="T15" s="1169"/>
      <c r="U15" s="1170"/>
      <c r="V15" s="156"/>
    </row>
    <row r="16" spans="2:23" ht="14.25" thickBot="1" x14ac:dyDescent="0.2">
      <c r="B16" s="1198"/>
      <c r="C16" s="138" t="s">
        <v>152</v>
      </c>
      <c r="D16" s="139"/>
      <c r="E16" s="139"/>
      <c r="F16" s="139"/>
      <c r="G16" s="140">
        <f>SUM(G12:G15)</f>
        <v>80500</v>
      </c>
      <c r="H16" s="146"/>
      <c r="I16" s="1164"/>
      <c r="J16" s="236" t="s">
        <v>418</v>
      </c>
      <c r="K16" s="150">
        <f>SUM(K13:K15)</f>
        <v>2.78</v>
      </c>
      <c r="L16" s="150">
        <f>SUM(L13:L15)</f>
        <v>3.3</v>
      </c>
      <c r="M16" s="150"/>
      <c r="N16" s="375">
        <f>SUM(N13:N15)</f>
        <v>1453.1615999999999</v>
      </c>
      <c r="O16" s="163"/>
      <c r="P16" s="235"/>
      <c r="Q16" s="133"/>
      <c r="R16" s="577"/>
      <c r="S16" s="133"/>
      <c r="T16" s="1169"/>
      <c r="U16" s="1170"/>
      <c r="V16" s="156"/>
    </row>
    <row r="17" spans="2:22" ht="14.25" thickTop="1" x14ac:dyDescent="0.15">
      <c r="B17" s="1196" t="s">
        <v>163</v>
      </c>
      <c r="C17" s="389"/>
      <c r="D17" s="401"/>
      <c r="E17" s="402"/>
      <c r="F17" s="401"/>
      <c r="G17" s="403"/>
      <c r="H17" s="146"/>
      <c r="I17" s="1162" t="s">
        <v>172</v>
      </c>
      <c r="J17" s="401"/>
      <c r="K17" s="405">
        <v>0</v>
      </c>
      <c r="L17" s="405"/>
      <c r="M17" s="405"/>
      <c r="N17" s="673">
        <f>K17*L17*M17</f>
        <v>0</v>
      </c>
      <c r="O17" s="163"/>
      <c r="P17" s="235"/>
      <c r="Q17" s="133"/>
      <c r="R17" s="577"/>
      <c r="S17" s="133"/>
      <c r="T17" s="1169"/>
      <c r="U17" s="1170"/>
      <c r="V17" s="156"/>
    </row>
    <row r="18" spans="2:22" x14ac:dyDescent="0.15">
      <c r="B18" s="985"/>
      <c r="C18" s="389"/>
      <c r="D18" s="401"/>
      <c r="E18" s="402"/>
      <c r="F18" s="401"/>
      <c r="G18" s="403"/>
      <c r="H18" s="146"/>
      <c r="I18" s="1163"/>
      <c r="J18" s="401"/>
      <c r="K18" s="405"/>
      <c r="L18" s="405"/>
      <c r="M18" s="405"/>
      <c r="N18" s="673">
        <f t="shared" ref="N18:N19" si="2">K18*L18*M18</f>
        <v>0</v>
      </c>
      <c r="O18" s="163"/>
      <c r="P18" s="235"/>
      <c r="Q18" s="133"/>
      <c r="R18" s="577"/>
      <c r="S18" s="133"/>
      <c r="T18" s="1169"/>
      <c r="U18" s="1170"/>
      <c r="V18" s="156"/>
    </row>
    <row r="19" spans="2:22" x14ac:dyDescent="0.15">
      <c r="B19" s="985"/>
      <c r="C19" s="389"/>
      <c r="D19" s="401"/>
      <c r="E19" s="401"/>
      <c r="F19" s="401"/>
      <c r="G19" s="403"/>
      <c r="H19" s="146"/>
      <c r="I19" s="1163"/>
      <c r="J19" s="401"/>
      <c r="K19" s="405"/>
      <c r="L19" s="405"/>
      <c r="M19" s="405"/>
      <c r="N19" s="673">
        <f t="shared" si="2"/>
        <v>0</v>
      </c>
      <c r="O19" s="163"/>
      <c r="P19" s="235"/>
      <c r="Q19" s="133"/>
      <c r="R19" s="577"/>
      <c r="S19" s="133"/>
      <c r="T19" s="1169"/>
      <c r="U19" s="1170"/>
      <c r="V19" s="156"/>
    </row>
    <row r="20" spans="2:22" ht="14.25" thickBot="1" x14ac:dyDescent="0.2">
      <c r="B20" s="1198"/>
      <c r="C20" s="138" t="s">
        <v>152</v>
      </c>
      <c r="D20" s="139"/>
      <c r="E20" s="139"/>
      <c r="F20" s="139"/>
      <c r="G20" s="140">
        <f>SUM(G17:G19)</f>
        <v>0</v>
      </c>
      <c r="H20" s="146"/>
      <c r="I20" s="1164"/>
      <c r="J20" s="236" t="s">
        <v>405</v>
      </c>
      <c r="K20" s="150">
        <f>SUM(K17:K19)</f>
        <v>0</v>
      </c>
      <c r="L20" s="151">
        <f>SUM(L17:L19)</f>
        <v>0</v>
      </c>
      <c r="M20" s="152"/>
      <c r="N20" s="375">
        <f>SUM(N17:N19)</f>
        <v>0</v>
      </c>
      <c r="O20" s="163"/>
      <c r="P20" s="235"/>
      <c r="Q20" s="133"/>
      <c r="R20" s="577"/>
      <c r="S20" s="133"/>
      <c r="T20" s="1169"/>
      <c r="U20" s="1170"/>
      <c r="V20" s="156"/>
    </row>
    <row r="21" spans="2:22" ht="15" thickTop="1" thickBot="1" x14ac:dyDescent="0.2">
      <c r="B21" s="1196" t="s">
        <v>164</v>
      </c>
      <c r="C21" s="389" t="s">
        <v>406</v>
      </c>
      <c r="D21" s="401">
        <f>189*4.3</f>
        <v>812.69999999999993</v>
      </c>
      <c r="E21" s="402" t="s">
        <v>419</v>
      </c>
      <c r="F21" s="401">
        <f>510/20</f>
        <v>25.5</v>
      </c>
      <c r="G21" s="403">
        <f>D21*F21</f>
        <v>20723.849999999999</v>
      </c>
      <c r="H21" s="146"/>
      <c r="I21" s="1162" t="s">
        <v>173</v>
      </c>
      <c r="J21" s="401" t="s">
        <v>708</v>
      </c>
      <c r="K21" s="405">
        <v>28.2</v>
      </c>
      <c r="L21" s="405">
        <v>6.1</v>
      </c>
      <c r="M21" s="405">
        <v>102.1</v>
      </c>
      <c r="N21" s="406">
        <f>K21*L21*M21</f>
        <v>17563.241999999998</v>
      </c>
      <c r="O21" s="163"/>
      <c r="P21" s="291" t="s">
        <v>29</v>
      </c>
      <c r="Q21" s="247"/>
      <c r="R21" s="247"/>
      <c r="S21" s="247"/>
      <c r="T21" s="1222"/>
      <c r="U21" s="1206"/>
      <c r="V21" s="292">
        <f>SUM(V5:V20)</f>
        <v>5806.666666666667</v>
      </c>
    </row>
    <row r="22" spans="2:22" x14ac:dyDescent="0.15">
      <c r="B22" s="985"/>
      <c r="C22" s="389"/>
      <c r="D22" s="401"/>
      <c r="E22" s="402"/>
      <c r="F22" s="401"/>
      <c r="G22" s="403"/>
      <c r="H22" s="146"/>
      <c r="I22" s="1163"/>
      <c r="J22" s="401"/>
      <c r="K22" s="405"/>
      <c r="L22" s="405"/>
      <c r="M22" s="405"/>
      <c r="N22" s="673">
        <f t="shared" ref="N22:N23" si="3">K22*L22*M22</f>
        <v>0</v>
      </c>
      <c r="O22" s="163"/>
    </row>
    <row r="23" spans="2:22" ht="14.25" thickBot="1" x14ac:dyDescent="0.2">
      <c r="B23" s="985"/>
      <c r="C23" s="389"/>
      <c r="D23" s="401"/>
      <c r="E23" s="402"/>
      <c r="F23" s="401"/>
      <c r="G23" s="403"/>
      <c r="H23" s="146"/>
      <c r="I23" s="1163"/>
      <c r="J23" s="401"/>
      <c r="K23" s="405"/>
      <c r="L23" s="405"/>
      <c r="M23" s="405"/>
      <c r="N23" s="673">
        <f t="shared" si="3"/>
        <v>0</v>
      </c>
      <c r="O23" s="163"/>
      <c r="P23" s="43" t="s">
        <v>228</v>
      </c>
    </row>
    <row r="24" spans="2:22" ht="14.25" thickBot="1" x14ac:dyDescent="0.2">
      <c r="B24" s="1197"/>
      <c r="C24" s="141" t="s">
        <v>154</v>
      </c>
      <c r="D24" s="142"/>
      <c r="E24" s="142"/>
      <c r="F24" s="148"/>
      <c r="G24" s="143">
        <f>SUM(G21:G23)</f>
        <v>20723.849999999999</v>
      </c>
      <c r="H24" s="146"/>
      <c r="I24" s="1164"/>
      <c r="J24" s="236" t="s">
        <v>407</v>
      </c>
      <c r="K24" s="150">
        <f>SUM(K21:K23)</f>
        <v>28.2</v>
      </c>
      <c r="L24" s="151">
        <f>SUM(L21:L23)</f>
        <v>6.1</v>
      </c>
      <c r="M24" s="152"/>
      <c r="N24" s="375">
        <f>SUM(N21:N23)</f>
        <v>17563.241999999998</v>
      </c>
      <c r="O24" s="163"/>
      <c r="P24" s="362" t="s">
        <v>180</v>
      </c>
      <c r="Q24" s="363" t="s">
        <v>175</v>
      </c>
      <c r="R24" s="363" t="s">
        <v>176</v>
      </c>
      <c r="S24" s="363" t="s">
        <v>394</v>
      </c>
      <c r="T24" s="363" t="s">
        <v>177</v>
      </c>
      <c r="U24" s="583" t="s">
        <v>181</v>
      </c>
      <c r="V24" s="364" t="s">
        <v>178</v>
      </c>
    </row>
    <row r="25" spans="2:22" ht="14.25" thickTop="1" x14ac:dyDescent="0.15">
      <c r="I25" s="1162" t="s">
        <v>245</v>
      </c>
      <c r="J25" s="401"/>
      <c r="K25" s="405"/>
      <c r="L25" s="405"/>
      <c r="M25" s="405"/>
      <c r="N25" s="673">
        <f>K25*L25*M25</f>
        <v>0</v>
      </c>
      <c r="O25" s="163"/>
      <c r="P25" s="235" t="s">
        <v>408</v>
      </c>
      <c r="Q25" s="133">
        <v>10</v>
      </c>
      <c r="R25" s="577" t="s">
        <v>409</v>
      </c>
      <c r="S25" s="578">
        <v>500</v>
      </c>
      <c r="T25" s="133">
        <v>2</v>
      </c>
      <c r="U25" s="263">
        <v>27</v>
      </c>
      <c r="V25" s="156">
        <f>Q25*S25/T25/U25</f>
        <v>92.592592592592595</v>
      </c>
    </row>
    <row r="26" spans="2:22" ht="14.25" thickBot="1" x14ac:dyDescent="0.2">
      <c r="B26" s="4" t="s">
        <v>420</v>
      </c>
      <c r="C26" s="4"/>
      <c r="D26" s="45"/>
      <c r="E26" s="4"/>
      <c r="F26" s="45"/>
      <c r="G26" s="47"/>
      <c r="H26" s="147"/>
      <c r="I26" s="1163"/>
      <c r="J26" s="401"/>
      <c r="K26" s="405"/>
      <c r="L26" s="405"/>
      <c r="M26" s="405"/>
      <c r="N26" s="673">
        <f t="shared" ref="N26:N27" si="4">K26*L26*M26</f>
        <v>0</v>
      </c>
      <c r="O26" s="163"/>
      <c r="P26" s="235"/>
      <c r="Q26" s="133"/>
      <c r="R26" s="577"/>
      <c r="S26" s="133"/>
      <c r="T26" s="133"/>
      <c r="U26" s="263"/>
      <c r="V26" s="156"/>
    </row>
    <row r="27" spans="2:22" x14ac:dyDescent="0.15">
      <c r="B27" s="357" t="s">
        <v>91</v>
      </c>
      <c r="C27" s="358" t="s">
        <v>145</v>
      </c>
      <c r="D27" s="358" t="s">
        <v>146</v>
      </c>
      <c r="E27" s="358" t="s">
        <v>147</v>
      </c>
      <c r="F27" s="359" t="s">
        <v>24</v>
      </c>
      <c r="G27" s="360" t="s">
        <v>148</v>
      </c>
      <c r="H27" s="145"/>
      <c r="I27" s="1163"/>
      <c r="J27" s="401"/>
      <c r="K27" s="405"/>
      <c r="L27" s="405"/>
      <c r="M27" s="405"/>
      <c r="N27" s="673">
        <f t="shared" si="4"/>
        <v>0</v>
      </c>
      <c r="O27" s="163"/>
      <c r="P27" s="235"/>
      <c r="Q27" s="133"/>
      <c r="R27" s="577"/>
      <c r="S27" s="133"/>
      <c r="T27" s="133"/>
      <c r="U27" s="263"/>
      <c r="V27" s="156"/>
    </row>
    <row r="28" spans="2:22" ht="14.25" thickBot="1" x14ac:dyDescent="0.2">
      <c r="B28" s="1025" t="s">
        <v>30</v>
      </c>
      <c r="C28" s="389" t="s">
        <v>781</v>
      </c>
      <c r="D28" s="401">
        <v>300</v>
      </c>
      <c r="E28" s="402" t="s">
        <v>410</v>
      </c>
      <c r="F28" s="401">
        <f>62610/10000</f>
        <v>6.2610000000000001</v>
      </c>
      <c r="G28" s="134">
        <f>D28*F28</f>
        <v>1878.3</v>
      </c>
      <c r="H28" s="146"/>
      <c r="I28" s="1164"/>
      <c r="J28" s="236" t="s">
        <v>427</v>
      </c>
      <c r="K28" s="150">
        <f>SUM(K25:K27)</f>
        <v>0</v>
      </c>
      <c r="L28" s="151">
        <f>SUM(L25:L27)</f>
        <v>0</v>
      </c>
      <c r="M28" s="152"/>
      <c r="N28" s="375">
        <f>SUM(N25:N27)</f>
        <v>0</v>
      </c>
      <c r="O28" s="163"/>
      <c r="P28" s="235"/>
      <c r="Q28" s="133"/>
      <c r="R28" s="577"/>
      <c r="S28" s="133"/>
      <c r="T28" s="133"/>
      <c r="U28" s="263"/>
      <c r="V28" s="156"/>
    </row>
    <row r="29" spans="2:22" ht="14.25" thickTop="1" x14ac:dyDescent="0.15">
      <c r="B29" s="985"/>
      <c r="C29" s="725" t="s">
        <v>782</v>
      </c>
      <c r="D29" s="401">
        <v>180</v>
      </c>
      <c r="E29" s="402" t="s">
        <v>428</v>
      </c>
      <c r="F29" s="401">
        <f>4180/500</f>
        <v>8.36</v>
      </c>
      <c r="G29" s="134">
        <f>D29*F29</f>
        <v>1504.8</v>
      </c>
      <c r="H29" s="146"/>
      <c r="I29" s="1162" t="s">
        <v>169</v>
      </c>
      <c r="J29" s="401" t="s">
        <v>708</v>
      </c>
      <c r="K29" s="405">
        <v>31.4</v>
      </c>
      <c r="L29" s="405">
        <v>3.2</v>
      </c>
      <c r="M29" s="405">
        <v>14</v>
      </c>
      <c r="N29" s="406">
        <f>K29*L29*M29</f>
        <v>1406.72</v>
      </c>
      <c r="O29" s="163"/>
      <c r="P29" s="235"/>
      <c r="Q29" s="133"/>
      <c r="R29" s="577"/>
      <c r="S29" s="133"/>
      <c r="T29" s="133"/>
      <c r="U29" s="263"/>
      <c r="V29" s="156"/>
    </row>
    <row r="30" spans="2:22" x14ac:dyDescent="0.15">
      <c r="B30" s="985"/>
      <c r="C30" s="389" t="s">
        <v>30</v>
      </c>
      <c r="D30" s="401">
        <v>1000</v>
      </c>
      <c r="E30" s="402" t="s">
        <v>412</v>
      </c>
      <c r="F30" s="401">
        <f>42580/20000</f>
        <v>2.129</v>
      </c>
      <c r="G30" s="134">
        <f>D30*F30</f>
        <v>2129</v>
      </c>
      <c r="H30" s="146"/>
      <c r="I30" s="1163"/>
      <c r="J30" s="401" t="s">
        <v>709</v>
      </c>
      <c r="K30" s="405">
        <v>4</v>
      </c>
      <c r="L30" s="405">
        <v>1.9</v>
      </c>
      <c r="M30" s="405">
        <v>14</v>
      </c>
      <c r="N30" s="406">
        <f t="shared" ref="N30:N31" si="5">K30*L30*M30</f>
        <v>106.39999999999999</v>
      </c>
      <c r="O30" s="44"/>
      <c r="P30" s="235"/>
      <c r="Q30" s="133"/>
      <c r="R30" s="577"/>
      <c r="S30" s="133"/>
      <c r="T30" s="133"/>
      <c r="U30" s="263"/>
      <c r="V30" s="156"/>
    </row>
    <row r="31" spans="2:22" x14ac:dyDescent="0.15">
      <c r="B31" s="985"/>
      <c r="C31" s="376"/>
      <c r="D31" s="401"/>
      <c r="E31" s="402"/>
      <c r="F31" s="401"/>
      <c r="G31" s="403"/>
      <c r="H31" s="146"/>
      <c r="I31" s="1163"/>
      <c r="J31" s="401" t="s">
        <v>710</v>
      </c>
      <c r="K31" s="405">
        <v>24.5</v>
      </c>
      <c r="L31" s="405">
        <v>6.7</v>
      </c>
      <c r="M31" s="405">
        <v>14</v>
      </c>
      <c r="N31" s="406">
        <f t="shared" si="5"/>
        <v>2298.1</v>
      </c>
      <c r="P31" s="235"/>
      <c r="Q31" s="133"/>
      <c r="R31" s="577"/>
      <c r="S31" s="133"/>
      <c r="T31" s="133"/>
      <c r="U31" s="263"/>
      <c r="V31" s="156"/>
    </row>
    <row r="32" spans="2:22" ht="14.25" thickBot="1" x14ac:dyDescent="0.2">
      <c r="B32" s="985"/>
      <c r="C32" s="389"/>
      <c r="D32" s="401"/>
      <c r="E32" s="402"/>
      <c r="F32" s="401"/>
      <c r="G32" s="403"/>
      <c r="H32" s="146"/>
      <c r="I32" s="1165"/>
      <c r="J32" s="377" t="s">
        <v>425</v>
      </c>
      <c r="K32" s="378">
        <f>SUM(K29:K31)</f>
        <v>59.9</v>
      </c>
      <c r="L32" s="379">
        <f>SUM(L29:L31)</f>
        <v>11.8</v>
      </c>
      <c r="M32" s="380"/>
      <c r="N32" s="381">
        <f>SUM(N29:N31)</f>
        <v>3811.2200000000003</v>
      </c>
      <c r="P32" s="235"/>
      <c r="Q32" s="133"/>
      <c r="R32" s="577"/>
      <c r="S32" s="133"/>
      <c r="T32" s="133"/>
      <c r="U32" s="263"/>
      <c r="V32" s="156"/>
    </row>
    <row r="33" spans="2:22" x14ac:dyDescent="0.15">
      <c r="B33" s="985"/>
      <c r="C33" s="389"/>
      <c r="D33" s="401"/>
      <c r="E33" s="402"/>
      <c r="F33" s="401"/>
      <c r="G33" s="403"/>
      <c r="H33" s="146"/>
      <c r="I33" s="128"/>
      <c r="J33" s="128"/>
      <c r="K33" s="128"/>
      <c r="L33" s="128"/>
      <c r="M33" s="128"/>
      <c r="N33" s="128"/>
      <c r="P33" s="235"/>
      <c r="Q33" s="133"/>
      <c r="R33" s="577"/>
      <c r="S33" s="133"/>
      <c r="T33" s="133"/>
      <c r="U33" s="263"/>
      <c r="V33" s="156"/>
    </row>
    <row r="34" spans="2:22" ht="14.25" thickBot="1" x14ac:dyDescent="0.2">
      <c r="B34" s="985"/>
      <c r="C34" s="389"/>
      <c r="D34" s="401"/>
      <c r="E34" s="402"/>
      <c r="F34" s="401"/>
      <c r="G34" s="403"/>
      <c r="H34" s="146"/>
      <c r="I34" s="118" t="s">
        <v>226</v>
      </c>
      <c r="J34" s="118"/>
      <c r="K34" s="118"/>
      <c r="L34" s="118"/>
      <c r="M34" s="118"/>
      <c r="P34" s="581" t="s">
        <v>219</v>
      </c>
      <c r="Q34" s="247"/>
      <c r="R34" s="247"/>
      <c r="S34" s="247"/>
      <c r="T34" s="247"/>
      <c r="U34" s="157"/>
      <c r="V34" s="292">
        <f>SUM(V25:V33)</f>
        <v>92.592592592592595</v>
      </c>
    </row>
    <row r="35" spans="2:22" x14ac:dyDescent="0.15">
      <c r="B35" s="985"/>
      <c r="C35" s="389"/>
      <c r="D35" s="401"/>
      <c r="E35" s="402"/>
      <c r="F35" s="401"/>
      <c r="G35" s="403"/>
      <c r="H35" s="146"/>
      <c r="I35" s="221" t="s">
        <v>214</v>
      </c>
      <c r="J35" s="298" t="s">
        <v>5</v>
      </c>
      <c r="K35" s="1182" t="s">
        <v>215</v>
      </c>
      <c r="L35" s="1183"/>
      <c r="M35" s="385" t="s">
        <v>181</v>
      </c>
      <c r="N35" s="300" t="s">
        <v>429</v>
      </c>
    </row>
    <row r="36" spans="2:22" ht="14.25" thickBot="1" x14ac:dyDescent="0.2">
      <c r="B36" s="985"/>
      <c r="C36" s="389"/>
      <c r="D36" s="401"/>
      <c r="E36" s="402"/>
      <c r="F36" s="401"/>
      <c r="G36" s="403"/>
      <c r="H36" s="146"/>
      <c r="I36" s="1166" t="s">
        <v>2</v>
      </c>
      <c r="J36" s="144" t="s">
        <v>612</v>
      </c>
      <c r="K36" s="1184">
        <v>5940000</v>
      </c>
      <c r="L36" s="1184"/>
      <c r="M36" s="582">
        <v>27</v>
      </c>
      <c r="N36" s="229">
        <f>+K36/M36*0.014*0.3</f>
        <v>924</v>
      </c>
      <c r="P36" s="118" t="s">
        <v>220</v>
      </c>
      <c r="Q36" s="118"/>
      <c r="R36" s="118"/>
      <c r="S36" s="118"/>
      <c r="T36" s="118"/>
    </row>
    <row r="37" spans="2:22" x14ac:dyDescent="0.15">
      <c r="B37" s="985"/>
      <c r="C37" s="389"/>
      <c r="D37" s="401"/>
      <c r="E37" s="402"/>
      <c r="F37" s="401"/>
      <c r="G37" s="403"/>
      <c r="H37" s="146"/>
      <c r="I37" s="1167"/>
      <c r="J37" s="144" t="s">
        <v>613</v>
      </c>
      <c r="K37" s="1184">
        <v>10692000</v>
      </c>
      <c r="L37" s="1184"/>
      <c r="M37" s="582">
        <v>27</v>
      </c>
      <c r="N37" s="229">
        <f>+K37/M37*0.014*0.3</f>
        <v>1663.2</v>
      </c>
      <c r="P37" s="221" t="s">
        <v>212</v>
      </c>
      <c r="Q37" s="1181" t="s">
        <v>221</v>
      </c>
      <c r="R37" s="1181"/>
      <c r="S37" s="614" t="s">
        <v>224</v>
      </c>
      <c r="T37" s="614" t="s">
        <v>223</v>
      </c>
      <c r="U37" s="238" t="s">
        <v>181</v>
      </c>
      <c r="V37" s="239" t="s">
        <v>429</v>
      </c>
    </row>
    <row r="38" spans="2:22" ht="14.25" thickBot="1" x14ac:dyDescent="0.2">
      <c r="B38" s="1198"/>
      <c r="C38" s="136" t="s">
        <v>151</v>
      </c>
      <c r="D38" s="136"/>
      <c r="E38" s="136"/>
      <c r="F38" s="136"/>
      <c r="G38" s="137">
        <f>SUM(G28:G37)</f>
        <v>5512.1</v>
      </c>
      <c r="H38" s="146"/>
      <c r="I38" s="1167"/>
      <c r="J38" s="144" t="s">
        <v>614</v>
      </c>
      <c r="K38" s="1184">
        <v>1761750</v>
      </c>
      <c r="L38" s="1184"/>
      <c r="M38" s="408">
        <v>27</v>
      </c>
      <c r="N38" s="229">
        <f>+K38/M38*0.014*0.3</f>
        <v>274.05</v>
      </c>
      <c r="O38" s="154"/>
      <c r="P38" s="1179" t="s">
        <v>222</v>
      </c>
      <c r="Q38" s="225" t="s">
        <v>211</v>
      </c>
      <c r="R38" s="242"/>
      <c r="S38" s="226">
        <v>3880</v>
      </c>
      <c r="T38" s="243">
        <v>1</v>
      </c>
      <c r="U38" s="226">
        <v>27</v>
      </c>
      <c r="V38" s="229">
        <v>3880</v>
      </c>
    </row>
    <row r="39" spans="2:22" ht="14.25" thickTop="1" x14ac:dyDescent="0.15">
      <c r="B39" s="1196" t="s">
        <v>165</v>
      </c>
      <c r="C39" s="726" t="s">
        <v>783</v>
      </c>
      <c r="D39" s="401">
        <v>60</v>
      </c>
      <c r="E39" s="402" t="s">
        <v>412</v>
      </c>
      <c r="F39" s="401">
        <f>1450/500</f>
        <v>2.9</v>
      </c>
      <c r="G39" s="403">
        <f>D39*F39</f>
        <v>174</v>
      </c>
      <c r="H39" s="146"/>
      <c r="I39" s="1167"/>
      <c r="J39" s="144"/>
      <c r="K39" s="1184"/>
      <c r="L39" s="1184"/>
      <c r="M39" s="582"/>
      <c r="N39" s="229"/>
      <c r="O39" s="154"/>
      <c r="P39" s="1177"/>
      <c r="Q39" s="225"/>
      <c r="R39" s="242"/>
      <c r="S39" s="226"/>
      <c r="T39" s="243"/>
      <c r="U39" s="226"/>
      <c r="V39" s="229"/>
    </row>
    <row r="40" spans="2:22" x14ac:dyDescent="0.15">
      <c r="B40" s="985"/>
      <c r="C40" s="389" t="s">
        <v>448</v>
      </c>
      <c r="D40" s="401">
        <v>1000</v>
      </c>
      <c r="E40" s="402" t="s">
        <v>412</v>
      </c>
      <c r="F40" s="401">
        <f>96020/20000</f>
        <v>4.8010000000000002</v>
      </c>
      <c r="G40" s="403">
        <f>D40*F40</f>
        <v>4801</v>
      </c>
      <c r="H40" s="146"/>
      <c r="I40" s="1167"/>
      <c r="J40" s="144"/>
      <c r="K40" s="1184"/>
      <c r="L40" s="1184"/>
      <c r="M40" s="582"/>
      <c r="N40" s="229"/>
      <c r="O40" s="154"/>
      <c r="P40" s="1177"/>
      <c r="Q40" s="225"/>
      <c r="R40" s="242"/>
      <c r="S40" s="226"/>
      <c r="T40" s="243"/>
      <c r="U40" s="226"/>
      <c r="V40" s="229"/>
    </row>
    <row r="41" spans="2:22" x14ac:dyDescent="0.15">
      <c r="B41" s="985"/>
      <c r="C41" s="389"/>
      <c r="D41" s="401"/>
      <c r="E41" s="402"/>
      <c r="F41" s="401"/>
      <c r="G41" s="403"/>
      <c r="H41" s="146"/>
      <c r="I41" s="1167"/>
      <c r="J41" s="144"/>
      <c r="K41" s="1184"/>
      <c r="L41" s="1184"/>
      <c r="M41" s="582"/>
      <c r="N41" s="229"/>
      <c r="O41" s="154"/>
      <c r="P41" s="1177"/>
      <c r="Q41" s="225"/>
      <c r="R41" s="242"/>
      <c r="S41" s="226"/>
      <c r="T41" s="243"/>
      <c r="U41" s="226"/>
      <c r="V41" s="229"/>
    </row>
    <row r="42" spans="2:22" ht="14.25" thickBot="1" x14ac:dyDescent="0.2">
      <c r="B42" s="985"/>
      <c r="C42" s="389"/>
      <c r="D42" s="401"/>
      <c r="E42" s="402"/>
      <c r="F42" s="401"/>
      <c r="G42" s="403"/>
      <c r="H42" s="146"/>
      <c r="I42" s="1168"/>
      <c r="J42" s="222" t="s">
        <v>152</v>
      </c>
      <c r="K42" s="1215"/>
      <c r="L42" s="1216"/>
      <c r="M42" s="223"/>
      <c r="N42" s="228">
        <f>SUM(N36:N41)</f>
        <v>2861.25</v>
      </c>
      <c r="O42" s="154"/>
      <c r="P42" s="1177"/>
      <c r="Q42" s="225"/>
      <c r="R42" s="242"/>
      <c r="S42" s="226"/>
      <c r="T42" s="243"/>
      <c r="U42" s="226"/>
      <c r="V42" s="229"/>
    </row>
    <row r="43" spans="2:22" ht="14.25" thickTop="1" x14ac:dyDescent="0.15">
      <c r="B43" s="985"/>
      <c r="C43" s="389"/>
      <c r="D43" s="401"/>
      <c r="E43" s="402"/>
      <c r="F43" s="401"/>
      <c r="G43" s="403"/>
      <c r="H43" s="146"/>
      <c r="I43" s="1199" t="s">
        <v>216</v>
      </c>
      <c r="J43" s="224" t="s">
        <v>232</v>
      </c>
      <c r="K43" s="1217">
        <v>8200</v>
      </c>
      <c r="L43" s="1217"/>
      <c r="M43" s="584">
        <v>27</v>
      </c>
      <c r="N43" s="241">
        <f>+K43/M43</f>
        <v>303.7037037037037</v>
      </c>
      <c r="O43" s="154"/>
      <c r="P43" s="1177"/>
      <c r="Q43" s="225"/>
      <c r="R43" s="242"/>
      <c r="S43" s="226"/>
      <c r="T43" s="243"/>
      <c r="U43" s="226"/>
      <c r="V43" s="229"/>
    </row>
    <row r="44" spans="2:22" ht="14.25" thickBot="1" x14ac:dyDescent="0.2">
      <c r="B44" s="985"/>
      <c r="C44" s="389"/>
      <c r="D44" s="401"/>
      <c r="E44" s="402"/>
      <c r="F44" s="401"/>
      <c r="G44" s="403"/>
      <c r="H44" s="146"/>
      <c r="I44" s="1200"/>
      <c r="J44" s="225" t="s">
        <v>229</v>
      </c>
      <c r="K44" s="1184">
        <v>4100</v>
      </c>
      <c r="L44" s="1184"/>
      <c r="M44" s="582">
        <v>30</v>
      </c>
      <c r="N44" s="229">
        <f>K44/M44</f>
        <v>136.66666666666666</v>
      </c>
      <c r="O44" s="154"/>
      <c r="P44" s="1180"/>
      <c r="Q44" s="230" t="s">
        <v>225</v>
      </c>
      <c r="R44" s="231"/>
      <c r="S44" s="231"/>
      <c r="T44" s="231"/>
      <c r="U44" s="231"/>
      <c r="V44" s="232">
        <f>SUM(V38:V43)</f>
        <v>3880</v>
      </c>
    </row>
    <row r="45" spans="2:22" ht="14.25" thickTop="1" x14ac:dyDescent="0.15">
      <c r="B45" s="985"/>
      <c r="C45" s="389"/>
      <c r="D45" s="401"/>
      <c r="E45" s="402"/>
      <c r="F45" s="401"/>
      <c r="G45" s="403"/>
      <c r="H45" s="146"/>
      <c r="I45" s="1200"/>
      <c r="J45" s="144"/>
      <c r="K45" s="1184"/>
      <c r="L45" s="1184"/>
      <c r="M45" s="582"/>
      <c r="N45" s="229"/>
      <c r="O45" s="154"/>
      <c r="P45" s="1176" t="s">
        <v>230</v>
      </c>
      <c r="Q45" s="1173" t="s">
        <v>233</v>
      </c>
      <c r="R45" s="591" t="s">
        <v>234</v>
      </c>
      <c r="S45" s="224">
        <v>35750</v>
      </c>
      <c r="T45" s="244">
        <v>1</v>
      </c>
      <c r="U45" s="224">
        <v>27</v>
      </c>
      <c r="V45" s="240">
        <f>+S45*T45/U45</f>
        <v>1324.0740740740741</v>
      </c>
    </row>
    <row r="46" spans="2:22" ht="14.25" thickBot="1" x14ac:dyDescent="0.2">
      <c r="B46" s="985"/>
      <c r="C46" s="389"/>
      <c r="D46" s="401"/>
      <c r="E46" s="402"/>
      <c r="F46" s="401"/>
      <c r="G46" s="403"/>
      <c r="H46" s="146"/>
      <c r="I46" s="1218"/>
      <c r="J46" s="222" t="s">
        <v>152</v>
      </c>
      <c r="K46" s="1215"/>
      <c r="L46" s="1216"/>
      <c r="M46" s="223"/>
      <c r="N46" s="228">
        <f>SUM(N43:N45)</f>
        <v>440.37037037037032</v>
      </c>
      <c r="O46" s="154"/>
      <c r="P46" s="1177"/>
      <c r="Q46" s="1174"/>
      <c r="R46" s="245" t="s">
        <v>229</v>
      </c>
      <c r="S46" s="225">
        <v>15600</v>
      </c>
      <c r="T46" s="243">
        <v>1</v>
      </c>
      <c r="U46" s="225">
        <v>30</v>
      </c>
      <c r="V46" s="229">
        <f>+S46*T46/U46</f>
        <v>520</v>
      </c>
    </row>
    <row r="47" spans="2:22" ht="14.25" thickTop="1" x14ac:dyDescent="0.15">
      <c r="B47" s="985"/>
      <c r="C47" s="389"/>
      <c r="D47" s="401"/>
      <c r="E47" s="402"/>
      <c r="F47" s="401"/>
      <c r="G47" s="403"/>
      <c r="H47" s="146"/>
      <c r="I47" s="1199" t="s">
        <v>217</v>
      </c>
      <c r="J47" s="224" t="s">
        <v>232</v>
      </c>
      <c r="K47" s="1217">
        <v>11500</v>
      </c>
      <c r="L47" s="1217"/>
      <c r="M47" s="584">
        <v>27</v>
      </c>
      <c r="N47" s="240">
        <f>K47/M47</f>
        <v>425.92592592592592</v>
      </c>
      <c r="O47" s="154"/>
      <c r="P47" s="1177"/>
      <c r="Q47" s="1174"/>
      <c r="R47" s="245"/>
      <c r="S47" s="225"/>
      <c r="T47" s="225"/>
      <c r="U47" s="144"/>
      <c r="V47" s="246"/>
    </row>
    <row r="48" spans="2:22" x14ac:dyDescent="0.15">
      <c r="B48" s="985"/>
      <c r="C48" s="389"/>
      <c r="D48" s="401"/>
      <c r="E48" s="402"/>
      <c r="F48" s="401"/>
      <c r="G48" s="403"/>
      <c r="H48" s="146"/>
      <c r="I48" s="1200"/>
      <c r="J48" s="225"/>
      <c r="K48" s="1184"/>
      <c r="L48" s="1184"/>
      <c r="M48" s="582"/>
      <c r="N48" s="229"/>
      <c r="O48" s="154"/>
      <c r="P48" s="1177"/>
      <c r="Q48" s="1174"/>
      <c r="R48" s="521"/>
      <c r="S48" s="613"/>
      <c r="T48" s="613"/>
      <c r="U48" s="613"/>
      <c r="V48" s="668"/>
    </row>
    <row r="49" spans="2:22" ht="14.25" thickBot="1" x14ac:dyDescent="0.2">
      <c r="B49" s="1198"/>
      <c r="C49" s="138" t="s">
        <v>152</v>
      </c>
      <c r="D49" s="139"/>
      <c r="E49" s="139"/>
      <c r="F49" s="139"/>
      <c r="G49" s="140">
        <f>SUM(G39:G48)</f>
        <v>4975</v>
      </c>
      <c r="H49" s="146"/>
      <c r="I49" s="1200"/>
      <c r="J49" s="144"/>
      <c r="K49" s="1184"/>
      <c r="L49" s="1184"/>
      <c r="M49" s="582"/>
      <c r="N49" s="229"/>
      <c r="O49" s="154"/>
      <c r="P49" s="1177"/>
      <c r="Q49" s="1175"/>
      <c r="R49" s="245"/>
      <c r="S49" s="225"/>
      <c r="T49" s="225"/>
      <c r="U49" s="144"/>
      <c r="V49" s="246"/>
    </row>
    <row r="50" spans="2:22" ht="15" thickTop="1" thickBot="1" x14ac:dyDescent="0.2">
      <c r="B50" s="1196" t="s">
        <v>32</v>
      </c>
      <c r="C50" s="382" t="s">
        <v>784</v>
      </c>
      <c r="D50" s="382">
        <v>10</v>
      </c>
      <c r="E50" s="383" t="s">
        <v>400</v>
      </c>
      <c r="F50" s="382">
        <f>24330/10</f>
        <v>2433</v>
      </c>
      <c r="G50" s="391">
        <f t="shared" ref="G50" si="6">D50*F50</f>
        <v>24330</v>
      </c>
      <c r="H50" s="146"/>
      <c r="I50" s="1218"/>
      <c r="J50" s="222" t="s">
        <v>152</v>
      </c>
      <c r="K50" s="1215"/>
      <c r="L50" s="1216"/>
      <c r="M50" s="223"/>
      <c r="N50" s="228">
        <f>SUM(N47:N49)</f>
        <v>425.92592592592592</v>
      </c>
      <c r="O50" s="154"/>
      <c r="P50" s="1177"/>
      <c r="Q50" s="230" t="s">
        <v>225</v>
      </c>
      <c r="R50" s="231"/>
      <c r="S50" s="231"/>
      <c r="T50" s="231"/>
      <c r="U50" s="231"/>
      <c r="V50" s="232">
        <f>SUM(V45:V49)</f>
        <v>1844.0740740740741</v>
      </c>
    </row>
    <row r="51" spans="2:22" ht="14.25" thickTop="1" x14ac:dyDescent="0.15">
      <c r="B51" s="985"/>
      <c r="C51" s="382"/>
      <c r="D51" s="382"/>
      <c r="E51" s="382"/>
      <c r="F51" s="382"/>
      <c r="G51" s="391"/>
      <c r="H51" s="146"/>
      <c r="I51" s="1199" t="s">
        <v>218</v>
      </c>
      <c r="J51" s="224" t="s">
        <v>54</v>
      </c>
      <c r="K51" s="1201">
        <v>2400</v>
      </c>
      <c r="L51" s="1202"/>
      <c r="M51" s="584">
        <v>27</v>
      </c>
      <c r="N51" s="241">
        <f>+K51/M51</f>
        <v>88.888888888888886</v>
      </c>
      <c r="O51" s="154"/>
      <c r="P51" s="1177"/>
      <c r="Q51" s="1173" t="s">
        <v>235</v>
      </c>
      <c r="R51" s="591" t="s">
        <v>234</v>
      </c>
      <c r="S51" s="224">
        <v>60000</v>
      </c>
      <c r="T51" s="244">
        <v>1</v>
      </c>
      <c r="U51" s="224">
        <v>27</v>
      </c>
      <c r="V51" s="240">
        <f>+S51*T51/U51</f>
        <v>2222.2222222222222</v>
      </c>
    </row>
    <row r="52" spans="2:22" x14ac:dyDescent="0.15">
      <c r="B52" s="985"/>
      <c r="C52" s="382"/>
      <c r="D52" s="382"/>
      <c r="E52" s="382"/>
      <c r="F52" s="382"/>
      <c r="G52" s="391"/>
      <c r="H52" s="146"/>
      <c r="I52" s="1200"/>
      <c r="J52" s="225" t="s">
        <v>54</v>
      </c>
      <c r="K52" s="1241">
        <v>2400</v>
      </c>
      <c r="L52" s="1242"/>
      <c r="M52" s="397">
        <v>27</v>
      </c>
      <c r="N52" s="229">
        <f t="shared" ref="N52:N55" si="7">+K52/M52</f>
        <v>88.888888888888886</v>
      </c>
      <c r="O52" s="154"/>
      <c r="P52" s="1177"/>
      <c r="Q52" s="1174"/>
      <c r="R52" s="245" t="s">
        <v>229</v>
      </c>
      <c r="S52" s="225">
        <v>25000</v>
      </c>
      <c r="T52" s="243">
        <v>1</v>
      </c>
      <c r="U52" s="225">
        <v>30</v>
      </c>
      <c r="V52" s="229">
        <f>+S52*T52/U52</f>
        <v>833.33333333333337</v>
      </c>
    </row>
    <row r="53" spans="2:22" ht="14.25" thickBot="1" x14ac:dyDescent="0.2">
      <c r="B53" s="1198"/>
      <c r="C53" s="138" t="s">
        <v>152</v>
      </c>
      <c r="D53" s="139"/>
      <c r="E53" s="139"/>
      <c r="F53" s="139"/>
      <c r="G53" s="140">
        <f>SUM(G50:G52)</f>
        <v>24330</v>
      </c>
      <c r="H53" s="146"/>
      <c r="I53" s="1200"/>
      <c r="J53" s="225" t="s">
        <v>415</v>
      </c>
      <c r="K53" s="1209">
        <v>4800</v>
      </c>
      <c r="L53" s="1210"/>
      <c r="M53" s="234">
        <v>27</v>
      </c>
      <c r="N53" s="229">
        <f>+K53/M53*2</f>
        <v>355.55555555555554</v>
      </c>
      <c r="O53" s="154"/>
      <c r="P53" s="1177"/>
      <c r="Q53" s="1174"/>
      <c r="R53" s="245"/>
      <c r="S53" s="225"/>
      <c r="T53" s="225"/>
      <c r="U53" s="144"/>
      <c r="V53" s="246"/>
    </row>
    <row r="54" spans="2:22" ht="14.25" thickTop="1" x14ac:dyDescent="0.15">
      <c r="B54" s="1196" t="s">
        <v>416</v>
      </c>
      <c r="C54" s="382" t="s">
        <v>785</v>
      </c>
      <c r="D54" s="387">
        <f>189*50/1000</f>
        <v>9.4499999999999993</v>
      </c>
      <c r="E54" s="383" t="s">
        <v>430</v>
      </c>
      <c r="F54" s="382">
        <f>9650/3</f>
        <v>3216.6666666666665</v>
      </c>
      <c r="G54" s="134">
        <f>D54*F54</f>
        <v>30397.499999999996</v>
      </c>
      <c r="I54" s="1200"/>
      <c r="J54" s="582" t="s">
        <v>229</v>
      </c>
      <c r="K54" s="1211">
        <v>5000</v>
      </c>
      <c r="L54" s="1212"/>
      <c r="M54" s="397">
        <v>30</v>
      </c>
      <c r="N54" s="229">
        <f t="shared" si="7"/>
        <v>166.66666666666666</v>
      </c>
      <c r="O54" s="154"/>
      <c r="P54" s="1177"/>
      <c r="Q54" s="1174"/>
      <c r="R54" s="521"/>
      <c r="S54" s="613"/>
      <c r="T54" s="613"/>
      <c r="U54" s="613"/>
      <c r="V54" s="668"/>
    </row>
    <row r="55" spans="2:22" x14ac:dyDescent="0.15">
      <c r="B55" s="985"/>
      <c r="C55" s="382" t="s">
        <v>786</v>
      </c>
      <c r="D55" s="382">
        <v>1000</v>
      </c>
      <c r="E55" s="383" t="s">
        <v>431</v>
      </c>
      <c r="F55" s="382">
        <f>68710/10000</f>
        <v>6.8710000000000004</v>
      </c>
      <c r="G55" s="391">
        <f>D55*F55</f>
        <v>6871</v>
      </c>
      <c r="I55" s="1200"/>
      <c r="J55" s="225" t="s">
        <v>432</v>
      </c>
      <c r="K55" s="1209">
        <v>5900</v>
      </c>
      <c r="L55" s="1210"/>
      <c r="M55" s="397">
        <v>27</v>
      </c>
      <c r="N55" s="400">
        <f t="shared" si="7"/>
        <v>218.5185185185185</v>
      </c>
      <c r="O55" s="154"/>
      <c r="P55" s="1177"/>
      <c r="Q55" s="1175"/>
      <c r="R55" s="245"/>
      <c r="S55" s="225"/>
      <c r="T55" s="225"/>
      <c r="U55" s="144"/>
      <c r="V55" s="246"/>
    </row>
    <row r="56" spans="2:22" x14ac:dyDescent="0.15">
      <c r="B56" s="985"/>
      <c r="C56" s="401"/>
      <c r="D56" s="401"/>
      <c r="E56" s="402"/>
      <c r="F56" s="401"/>
      <c r="G56" s="403"/>
      <c r="I56" s="1166"/>
      <c r="J56" s="305" t="s">
        <v>152</v>
      </c>
      <c r="K56" s="1213"/>
      <c r="L56" s="1214"/>
      <c r="M56" s="306"/>
      <c r="N56" s="307">
        <f>SUM(N51:N55)</f>
        <v>918.51851851851836</v>
      </c>
      <c r="O56" s="154"/>
      <c r="P56" s="1178"/>
      <c r="Q56" s="249" t="s">
        <v>225</v>
      </c>
      <c r="R56" s="250"/>
      <c r="S56" s="250"/>
      <c r="T56" s="250"/>
      <c r="U56" s="250"/>
      <c r="V56" s="251">
        <f>SUM(V51:V55)</f>
        <v>3055.5555555555557</v>
      </c>
    </row>
    <row r="57" spans="2:22" ht="14.25" thickBot="1" x14ac:dyDescent="0.2">
      <c r="B57" s="1197"/>
      <c r="C57" s="141" t="s">
        <v>154</v>
      </c>
      <c r="D57" s="142"/>
      <c r="E57" s="142"/>
      <c r="F57" s="142"/>
      <c r="G57" s="143">
        <f>SUM(G54:G56)</f>
        <v>37268.5</v>
      </c>
      <c r="I57" s="1205" t="s">
        <v>219</v>
      </c>
      <c r="J57" s="1206"/>
      <c r="K57" s="1207"/>
      <c r="L57" s="1208"/>
      <c r="M57" s="157"/>
      <c r="N57" s="248">
        <f>SUM(N42,N46,N50,N56)</f>
        <v>4646.0648148148148</v>
      </c>
      <c r="O57" s="154"/>
      <c r="P57" s="1171" t="s">
        <v>219</v>
      </c>
      <c r="Q57" s="1172"/>
      <c r="R57" s="669"/>
      <c r="S57" s="669"/>
      <c r="T57" s="669"/>
      <c r="U57" s="669"/>
      <c r="V57" s="670">
        <f>SUM(V44,V50,V56)</f>
        <v>8779.6296296296296</v>
      </c>
    </row>
    <row r="58" spans="2:22" x14ac:dyDescent="0.15">
      <c r="O58" s="154"/>
      <c r="V58" s="43"/>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8:22" x14ac:dyDescent="0.15">
      <c r="H65" s="43"/>
      <c r="I65" s="154"/>
      <c r="J65" s="154"/>
      <c r="K65" s="154"/>
      <c r="L65" s="154"/>
      <c r="M65" s="154"/>
      <c r="N65" s="154"/>
      <c r="O65" s="154"/>
      <c r="P65" s="43"/>
      <c r="R65" s="43"/>
      <c r="V65" s="43"/>
    </row>
    <row r="66" spans="8:22" x14ac:dyDescent="0.15">
      <c r="H66" s="43"/>
      <c r="I66" s="154"/>
      <c r="J66" s="154"/>
      <c r="K66" s="154"/>
      <c r="L66" s="154"/>
      <c r="M66" s="154"/>
      <c r="N66" s="154"/>
      <c r="O66" s="154"/>
      <c r="P66" s="43"/>
      <c r="R66" s="43"/>
      <c r="V66" s="43"/>
    </row>
    <row r="67" spans="8:22" x14ac:dyDescent="0.15">
      <c r="H67" s="43"/>
      <c r="I67" s="154"/>
      <c r="J67" s="154"/>
      <c r="K67" s="154"/>
      <c r="L67" s="154"/>
      <c r="M67" s="154"/>
      <c r="N67" s="154"/>
      <c r="O67" s="154"/>
      <c r="P67" s="43"/>
      <c r="R67" s="43"/>
      <c r="V67" s="43"/>
    </row>
    <row r="68" spans="8:22" x14ac:dyDescent="0.15">
      <c r="H68" s="43"/>
      <c r="I68" s="154"/>
      <c r="J68" s="154"/>
      <c r="K68" s="154"/>
      <c r="L68" s="154"/>
      <c r="M68" s="154"/>
      <c r="N68" s="154"/>
      <c r="O68" s="154"/>
      <c r="P68" s="43"/>
      <c r="R68" s="43"/>
      <c r="V68" s="43"/>
    </row>
    <row r="69" spans="8:22" x14ac:dyDescent="0.15">
      <c r="H69" s="43"/>
      <c r="I69" s="154"/>
      <c r="J69" s="154"/>
      <c r="K69" s="154"/>
      <c r="L69" s="154"/>
      <c r="M69" s="154"/>
      <c r="N69" s="154"/>
      <c r="O69" s="154"/>
      <c r="P69" s="43"/>
      <c r="R69" s="43"/>
      <c r="V69" s="43"/>
    </row>
    <row r="70" spans="8:22" x14ac:dyDescent="0.15">
      <c r="H70" s="43"/>
      <c r="I70" s="154"/>
      <c r="J70" s="154"/>
      <c r="K70" s="154"/>
      <c r="L70" s="154"/>
      <c r="M70" s="154"/>
      <c r="N70" s="154"/>
      <c r="O70" s="154"/>
      <c r="P70" s="43"/>
      <c r="R70" s="43"/>
      <c r="V70" s="43"/>
    </row>
    <row r="71" spans="8:22" x14ac:dyDescent="0.15">
      <c r="H71" s="43"/>
      <c r="I71" s="154"/>
      <c r="J71" s="154"/>
      <c r="K71" s="154"/>
      <c r="L71" s="154"/>
      <c r="M71" s="154"/>
      <c r="N71" s="154"/>
      <c r="O71" s="154"/>
      <c r="P71" s="43"/>
      <c r="R71" s="43"/>
      <c r="V71" s="43"/>
    </row>
    <row r="72" spans="8:22" x14ac:dyDescent="0.15">
      <c r="H72" s="43"/>
      <c r="I72" s="154"/>
      <c r="J72" s="154"/>
      <c r="K72" s="154"/>
      <c r="L72" s="154"/>
      <c r="M72" s="154"/>
      <c r="N72" s="154"/>
      <c r="O72" s="154"/>
      <c r="P72" s="43"/>
      <c r="R72" s="43"/>
      <c r="V72" s="43"/>
    </row>
    <row r="73" spans="8:22" x14ac:dyDescent="0.15">
      <c r="H73" s="43"/>
      <c r="I73" s="154"/>
      <c r="J73" s="154"/>
      <c r="K73" s="154"/>
      <c r="L73" s="154"/>
      <c r="M73" s="154"/>
      <c r="N73" s="154"/>
      <c r="O73" s="154"/>
      <c r="P73" s="43"/>
      <c r="R73" s="43"/>
      <c r="V73" s="43"/>
    </row>
    <row r="74" spans="8:22" x14ac:dyDescent="0.15">
      <c r="H74" s="43"/>
      <c r="I74" s="154"/>
      <c r="J74" s="154"/>
      <c r="K74" s="154"/>
      <c r="L74" s="154"/>
      <c r="M74" s="154"/>
      <c r="N74" s="154"/>
      <c r="O74" s="154"/>
      <c r="P74" s="43"/>
      <c r="R74" s="43"/>
      <c r="V74" s="43"/>
    </row>
    <row r="75" spans="8:22" x14ac:dyDescent="0.15">
      <c r="H75" s="43"/>
      <c r="I75" s="154"/>
      <c r="J75" s="154"/>
      <c r="K75" s="154"/>
      <c r="L75" s="154"/>
      <c r="M75" s="154"/>
      <c r="N75" s="154"/>
      <c r="O75" s="154"/>
      <c r="P75" s="43"/>
      <c r="R75" s="43"/>
      <c r="V75" s="43"/>
    </row>
    <row r="76" spans="8:22" x14ac:dyDescent="0.15">
      <c r="H76" s="43"/>
      <c r="I76" s="154"/>
      <c r="J76" s="154"/>
      <c r="K76" s="154"/>
      <c r="L76" s="154"/>
      <c r="M76" s="154"/>
      <c r="N76" s="154"/>
      <c r="O76" s="154"/>
      <c r="P76" s="43"/>
      <c r="R76" s="43"/>
      <c r="V76" s="43"/>
    </row>
    <row r="77" spans="8:22" x14ac:dyDescent="0.15">
      <c r="H77" s="43"/>
      <c r="I77" s="154"/>
      <c r="J77" s="154"/>
      <c r="K77" s="154"/>
      <c r="L77" s="154"/>
      <c r="M77" s="154"/>
      <c r="N77" s="154"/>
      <c r="O77" s="154"/>
      <c r="P77" s="43"/>
      <c r="R77" s="43"/>
      <c r="V77" s="43"/>
    </row>
    <row r="78" spans="8:22" x14ac:dyDescent="0.15">
      <c r="H78" s="43"/>
      <c r="I78" s="154"/>
      <c r="J78" s="154"/>
      <c r="K78" s="154"/>
      <c r="L78" s="154"/>
      <c r="M78" s="154"/>
      <c r="N78" s="154"/>
      <c r="O78" s="154"/>
      <c r="P78" s="43"/>
      <c r="R78" s="43"/>
      <c r="V78" s="43"/>
    </row>
    <row r="79" spans="8:22" x14ac:dyDescent="0.15">
      <c r="H79" s="43"/>
      <c r="I79" s="154"/>
      <c r="J79" s="154"/>
      <c r="K79" s="154"/>
      <c r="L79" s="154"/>
      <c r="M79" s="154"/>
      <c r="N79" s="154"/>
      <c r="O79" s="154"/>
      <c r="P79" s="43"/>
      <c r="R79" s="43"/>
      <c r="V79" s="43"/>
    </row>
    <row r="80" spans="8:22" x14ac:dyDescent="0.15">
      <c r="H80" s="43"/>
      <c r="I80" s="154"/>
      <c r="J80" s="154"/>
      <c r="K80" s="154"/>
      <c r="L80" s="154"/>
      <c r="M80" s="154"/>
      <c r="N80" s="154"/>
      <c r="O80" s="154"/>
      <c r="P80" s="43"/>
      <c r="R80" s="43"/>
      <c r="V80" s="43"/>
    </row>
    <row r="81" spans="2:22" x14ac:dyDescent="0.15">
      <c r="I81" s="154"/>
      <c r="J81" s="154"/>
      <c r="K81" s="154"/>
      <c r="L81" s="154"/>
      <c r="M81" s="154"/>
      <c r="N81" s="154"/>
      <c r="O81" s="154"/>
      <c r="P81" s="43"/>
      <c r="R81" s="43"/>
      <c r="V81" s="43"/>
    </row>
    <row r="82" spans="2:22" x14ac:dyDescent="0.15">
      <c r="I82" s="154"/>
      <c r="J82" s="154"/>
      <c r="K82" s="154"/>
      <c r="L82" s="154"/>
      <c r="M82" s="154"/>
      <c r="N82" s="154"/>
      <c r="O82" s="154"/>
      <c r="P82" s="43"/>
      <c r="R82" s="43"/>
      <c r="V82" s="43"/>
    </row>
    <row r="83" spans="2:22" x14ac:dyDescent="0.15">
      <c r="B83" s="145"/>
      <c r="C83" s="146"/>
      <c r="D83" s="146"/>
      <c r="E83" s="146"/>
      <c r="F83" s="146"/>
      <c r="I83" s="154"/>
      <c r="J83" s="154"/>
      <c r="K83" s="154"/>
      <c r="L83" s="154"/>
      <c r="M83" s="154"/>
      <c r="N83" s="154"/>
      <c r="O83" s="154"/>
      <c r="P83" s="43"/>
      <c r="R83" s="43"/>
      <c r="V83" s="43"/>
    </row>
    <row r="84" spans="2:22" x14ac:dyDescent="0.15">
      <c r="B84" s="145"/>
      <c r="C84" s="146"/>
      <c r="D84" s="146"/>
      <c r="E84" s="146"/>
      <c r="F84" s="146"/>
      <c r="I84" s="154"/>
      <c r="J84" s="154"/>
      <c r="K84" s="154"/>
      <c r="L84" s="154"/>
      <c r="M84" s="154"/>
      <c r="N84" s="154"/>
      <c r="O84" s="154"/>
      <c r="P84" s="43"/>
      <c r="R84" s="43"/>
      <c r="V84" s="43"/>
    </row>
    <row r="85" spans="2:22" x14ac:dyDescent="0.15">
      <c r="I85" s="154"/>
      <c r="J85" s="154"/>
      <c r="K85" s="154"/>
      <c r="L85" s="154"/>
      <c r="M85" s="154"/>
      <c r="N85" s="154"/>
      <c r="O85" s="154"/>
      <c r="P85" s="43"/>
      <c r="R85" s="43"/>
      <c r="V85" s="43"/>
    </row>
    <row r="86" spans="2:22" x14ac:dyDescent="0.15">
      <c r="I86" s="154"/>
      <c r="J86" s="154"/>
      <c r="K86" s="154"/>
      <c r="L86" s="154"/>
      <c r="M86" s="154"/>
      <c r="N86" s="154"/>
      <c r="O86" s="154"/>
      <c r="P86" s="43"/>
      <c r="R86" s="43"/>
      <c r="V86" s="43"/>
    </row>
    <row r="87" spans="2:22" x14ac:dyDescent="0.15">
      <c r="I87" s="154"/>
      <c r="J87" s="154"/>
      <c r="K87" s="154"/>
      <c r="L87" s="154"/>
      <c r="M87" s="154"/>
      <c r="N87" s="154"/>
      <c r="O87" s="154"/>
      <c r="P87" s="43"/>
      <c r="R87" s="43"/>
      <c r="V87" s="43"/>
    </row>
    <row r="88" spans="2:22" x14ac:dyDescent="0.15">
      <c r="I88" s="154"/>
      <c r="J88" s="154"/>
      <c r="K88" s="154"/>
      <c r="L88" s="154"/>
      <c r="M88" s="154"/>
      <c r="N88" s="154"/>
      <c r="O88" s="154"/>
      <c r="P88" s="43"/>
      <c r="R88" s="43"/>
      <c r="V88" s="43"/>
    </row>
    <row r="89" spans="2:22" x14ac:dyDescent="0.15">
      <c r="I89" s="154"/>
      <c r="J89" s="154"/>
      <c r="K89" s="154"/>
      <c r="L89" s="154"/>
      <c r="M89" s="154"/>
      <c r="N89" s="154"/>
      <c r="O89" s="154"/>
      <c r="P89" s="43"/>
      <c r="R89" s="43"/>
      <c r="V89" s="43"/>
    </row>
    <row r="90" spans="2:22" x14ac:dyDescent="0.15">
      <c r="I90" s="154"/>
      <c r="J90" s="154"/>
      <c r="K90" s="154"/>
      <c r="L90" s="154"/>
      <c r="M90" s="154"/>
      <c r="N90" s="154"/>
      <c r="O90" s="154"/>
      <c r="P90" s="43"/>
      <c r="R90" s="43"/>
      <c r="V90" s="43"/>
    </row>
    <row r="91" spans="2:22" x14ac:dyDescent="0.15">
      <c r="I91" s="154"/>
      <c r="J91" s="154"/>
      <c r="K91" s="154"/>
      <c r="L91" s="154"/>
      <c r="M91" s="154"/>
      <c r="N91" s="154"/>
      <c r="O91" s="154"/>
      <c r="P91" s="43"/>
      <c r="R91" s="43"/>
      <c r="V91" s="43"/>
    </row>
    <row r="92" spans="2:22" x14ac:dyDescent="0.15">
      <c r="I92" s="154"/>
      <c r="J92" s="154"/>
      <c r="K92" s="154"/>
      <c r="L92" s="154"/>
      <c r="M92" s="154"/>
      <c r="N92" s="154"/>
      <c r="O92" s="154"/>
      <c r="P92" s="43"/>
      <c r="R92" s="43"/>
      <c r="V92" s="43"/>
    </row>
    <row r="93" spans="2:22" x14ac:dyDescent="0.15">
      <c r="I93" s="154"/>
      <c r="J93" s="154"/>
      <c r="K93" s="154"/>
      <c r="L93" s="154"/>
      <c r="M93" s="154"/>
      <c r="N93" s="154"/>
      <c r="O93" s="154"/>
      <c r="P93" s="43"/>
      <c r="R93" s="43"/>
      <c r="V93" s="43"/>
    </row>
    <row r="94" spans="2:22" x14ac:dyDescent="0.15">
      <c r="I94" s="154"/>
      <c r="J94" s="154"/>
      <c r="K94" s="154"/>
      <c r="L94" s="154"/>
      <c r="M94" s="154"/>
      <c r="N94" s="154"/>
      <c r="O94" s="154"/>
      <c r="P94" s="43"/>
      <c r="R94" s="43"/>
      <c r="V94" s="43"/>
    </row>
    <row r="95" spans="2:22" x14ac:dyDescent="0.15">
      <c r="I95" s="154"/>
      <c r="J95" s="154"/>
      <c r="K95" s="154"/>
      <c r="L95" s="154"/>
      <c r="M95" s="154"/>
      <c r="N95" s="154"/>
      <c r="O95" s="154"/>
      <c r="P95" s="43"/>
      <c r="R95" s="43"/>
      <c r="V95" s="43"/>
    </row>
    <row r="96" spans="2:22" x14ac:dyDescent="0.15">
      <c r="I96" s="154"/>
      <c r="J96" s="154"/>
      <c r="K96" s="154"/>
      <c r="L96" s="154"/>
      <c r="M96" s="154"/>
      <c r="N96" s="154"/>
      <c r="O96" s="154"/>
      <c r="P96" s="43"/>
      <c r="R96" s="43"/>
      <c r="V96" s="43"/>
    </row>
    <row r="97" spans="8:22" x14ac:dyDescent="0.15">
      <c r="H97" s="43"/>
      <c r="I97" s="154"/>
      <c r="J97" s="154"/>
      <c r="K97" s="154"/>
      <c r="L97" s="154"/>
      <c r="M97" s="154"/>
      <c r="N97" s="154"/>
      <c r="O97" s="154"/>
      <c r="P97" s="43"/>
      <c r="R97" s="43"/>
      <c r="V97" s="43"/>
    </row>
    <row r="98" spans="8:22" x14ac:dyDescent="0.15">
      <c r="H98" s="43"/>
      <c r="I98" s="154"/>
      <c r="J98" s="154"/>
      <c r="K98" s="154"/>
      <c r="L98" s="154"/>
      <c r="M98" s="154"/>
      <c r="N98" s="154"/>
      <c r="O98" s="154"/>
      <c r="P98" s="43"/>
      <c r="R98" s="43"/>
      <c r="V98" s="43"/>
    </row>
    <row r="99" spans="8:22" x14ac:dyDescent="0.15">
      <c r="H99" s="43"/>
      <c r="I99" s="154"/>
      <c r="J99" s="154"/>
      <c r="K99" s="154"/>
      <c r="L99" s="154"/>
      <c r="M99" s="154"/>
      <c r="N99" s="154"/>
      <c r="O99" s="154"/>
      <c r="P99" s="43"/>
      <c r="R99" s="43"/>
      <c r="V99" s="43"/>
    </row>
    <row r="100" spans="8:22" x14ac:dyDescent="0.15">
      <c r="H100" s="43"/>
      <c r="I100" s="154"/>
      <c r="J100" s="154"/>
      <c r="K100" s="154"/>
      <c r="L100" s="154"/>
      <c r="M100" s="154"/>
      <c r="N100" s="154"/>
      <c r="O100" s="154"/>
      <c r="P100" s="43"/>
      <c r="R100" s="43"/>
      <c r="V100" s="43"/>
    </row>
    <row r="101" spans="8:22" x14ac:dyDescent="0.15">
      <c r="H101" s="43"/>
      <c r="I101" s="154"/>
      <c r="J101" s="154"/>
      <c r="K101" s="154"/>
      <c r="L101" s="154"/>
      <c r="M101" s="154"/>
      <c r="N101" s="154"/>
      <c r="O101" s="154"/>
      <c r="P101" s="43"/>
      <c r="R101" s="43"/>
      <c r="V101" s="43"/>
    </row>
    <row r="102" spans="8:22" x14ac:dyDescent="0.15">
      <c r="H102" s="43"/>
      <c r="I102" s="154"/>
      <c r="J102" s="154"/>
      <c r="K102" s="154"/>
      <c r="L102" s="154"/>
      <c r="M102" s="154"/>
      <c r="N102" s="154"/>
      <c r="O102" s="154"/>
      <c r="P102" s="43"/>
      <c r="R102" s="43"/>
      <c r="V102" s="43"/>
    </row>
    <row r="103" spans="8:22" x14ac:dyDescent="0.15">
      <c r="H103" s="43"/>
      <c r="I103" s="154"/>
      <c r="J103" s="154"/>
      <c r="K103" s="154"/>
      <c r="L103" s="154"/>
      <c r="M103" s="154"/>
      <c r="N103" s="154"/>
      <c r="O103" s="154"/>
      <c r="P103" s="43"/>
      <c r="R103" s="43"/>
      <c r="V103" s="43"/>
    </row>
    <row r="104" spans="8:22" x14ac:dyDescent="0.15">
      <c r="H104" s="43"/>
      <c r="I104" s="154"/>
      <c r="J104" s="154"/>
      <c r="K104" s="154"/>
      <c r="L104" s="154"/>
      <c r="M104" s="154"/>
      <c r="N104" s="154"/>
      <c r="O104" s="154"/>
      <c r="P104" s="43"/>
      <c r="R104" s="43"/>
      <c r="V104" s="43"/>
    </row>
    <row r="105" spans="8:22" x14ac:dyDescent="0.15">
      <c r="H105" s="43"/>
      <c r="I105" s="154"/>
      <c r="J105" s="154"/>
      <c r="K105" s="154"/>
      <c r="L105" s="154"/>
      <c r="M105" s="154"/>
      <c r="N105" s="154"/>
      <c r="O105" s="154"/>
      <c r="P105" s="43"/>
      <c r="R105" s="43"/>
      <c r="V105" s="43"/>
    </row>
    <row r="106" spans="8:22" x14ac:dyDescent="0.15">
      <c r="H106" s="43"/>
      <c r="I106" s="154"/>
      <c r="J106" s="154"/>
      <c r="K106" s="154"/>
      <c r="L106" s="154"/>
      <c r="M106" s="154"/>
      <c r="N106" s="154"/>
      <c r="O106" s="154"/>
      <c r="P106" s="43"/>
      <c r="R106" s="43"/>
      <c r="V106" s="43"/>
    </row>
    <row r="107" spans="8:22" x14ac:dyDescent="0.15">
      <c r="H107" s="43"/>
      <c r="I107" s="154"/>
      <c r="J107" s="154"/>
      <c r="K107" s="154"/>
      <c r="L107" s="154"/>
      <c r="M107" s="154"/>
      <c r="N107" s="154"/>
      <c r="O107" s="154"/>
      <c r="P107" s="43"/>
      <c r="R107" s="43"/>
      <c r="V107" s="43"/>
    </row>
    <row r="108" spans="8:22" x14ac:dyDescent="0.15">
      <c r="H108" s="43"/>
      <c r="I108" s="154"/>
      <c r="J108" s="154"/>
      <c r="K108" s="154"/>
      <c r="L108" s="154"/>
      <c r="M108" s="154"/>
      <c r="N108" s="154"/>
      <c r="O108" s="154"/>
      <c r="P108" s="43"/>
      <c r="R108" s="43"/>
      <c r="V108" s="43"/>
    </row>
    <row r="109" spans="8:22" x14ac:dyDescent="0.15">
      <c r="H109" s="43"/>
      <c r="I109" s="154"/>
      <c r="J109" s="154"/>
      <c r="K109" s="154"/>
      <c r="L109" s="154"/>
      <c r="M109" s="154"/>
      <c r="N109" s="154"/>
      <c r="O109" s="154"/>
      <c r="P109" s="43"/>
      <c r="R109" s="43"/>
      <c r="V109" s="43"/>
    </row>
    <row r="110" spans="8:22" x14ac:dyDescent="0.15">
      <c r="H110" s="43"/>
      <c r="I110" s="154"/>
      <c r="J110" s="154"/>
      <c r="K110" s="154"/>
      <c r="L110" s="154"/>
      <c r="M110" s="154"/>
      <c r="N110" s="154"/>
      <c r="O110" s="154"/>
      <c r="P110" s="43"/>
      <c r="R110" s="43"/>
      <c r="V110" s="43"/>
    </row>
    <row r="111" spans="8:22" x14ac:dyDescent="0.15">
      <c r="H111" s="43"/>
      <c r="I111" s="154"/>
      <c r="J111" s="154"/>
      <c r="K111" s="154"/>
      <c r="L111" s="154"/>
      <c r="M111" s="154"/>
      <c r="N111" s="154"/>
      <c r="O111" s="154"/>
      <c r="P111" s="43"/>
      <c r="R111" s="43"/>
      <c r="V111" s="43"/>
    </row>
    <row r="112" spans="8:22" x14ac:dyDescent="0.15">
      <c r="H112" s="43"/>
      <c r="I112" s="154"/>
      <c r="J112" s="154"/>
      <c r="K112" s="154"/>
      <c r="L112" s="154"/>
      <c r="M112" s="154"/>
      <c r="N112" s="154"/>
      <c r="O112" s="154"/>
      <c r="P112" s="43"/>
      <c r="R112" s="43"/>
      <c r="V112" s="43"/>
    </row>
    <row r="113" spans="8:22" x14ac:dyDescent="0.15">
      <c r="H113" s="43"/>
      <c r="I113" s="154"/>
      <c r="J113" s="154"/>
      <c r="K113" s="154"/>
      <c r="L113" s="154"/>
      <c r="M113" s="154"/>
      <c r="N113" s="154"/>
      <c r="O113" s="154"/>
      <c r="P113" s="43"/>
      <c r="R113" s="43"/>
      <c r="V113" s="43"/>
    </row>
    <row r="114" spans="8:22" x14ac:dyDescent="0.15">
      <c r="H114" s="43"/>
      <c r="I114" s="154"/>
      <c r="J114" s="154"/>
      <c r="K114" s="154"/>
      <c r="L114" s="154"/>
      <c r="M114" s="154"/>
      <c r="N114" s="154"/>
      <c r="O114" s="154"/>
      <c r="P114" s="43"/>
      <c r="R114" s="43"/>
      <c r="V114" s="43"/>
    </row>
    <row r="115" spans="8:22" x14ac:dyDescent="0.15">
      <c r="H115" s="43"/>
      <c r="I115" s="154"/>
      <c r="J115" s="154"/>
      <c r="K115" s="154"/>
      <c r="L115" s="154"/>
      <c r="M115" s="154"/>
      <c r="N115" s="154"/>
      <c r="O115" s="154"/>
      <c r="P115" s="43"/>
      <c r="R115" s="43"/>
      <c r="V115" s="43"/>
    </row>
    <row r="116" spans="8:22" x14ac:dyDescent="0.15">
      <c r="H116" s="43"/>
      <c r="I116" s="154"/>
      <c r="J116" s="154"/>
      <c r="K116" s="154"/>
      <c r="L116" s="154"/>
      <c r="M116" s="154"/>
      <c r="N116" s="154"/>
      <c r="O116" s="154"/>
      <c r="P116" s="43"/>
      <c r="R116" s="43"/>
      <c r="V116" s="43"/>
    </row>
    <row r="117" spans="8:22" x14ac:dyDescent="0.15">
      <c r="H117" s="43"/>
      <c r="I117" s="154"/>
      <c r="J117" s="154"/>
      <c r="K117" s="154"/>
      <c r="L117" s="154"/>
      <c r="M117" s="154"/>
      <c r="N117" s="154"/>
      <c r="O117" s="154"/>
      <c r="P117" s="43"/>
      <c r="R117" s="43"/>
      <c r="V117" s="43"/>
    </row>
    <row r="118" spans="8:22" x14ac:dyDescent="0.15">
      <c r="H118" s="43"/>
      <c r="I118" s="154"/>
      <c r="J118" s="154"/>
      <c r="K118" s="154"/>
      <c r="L118" s="154"/>
      <c r="M118" s="154"/>
      <c r="N118" s="154"/>
      <c r="O118" s="154"/>
      <c r="P118" s="43"/>
      <c r="R118" s="43"/>
      <c r="V118" s="43"/>
    </row>
    <row r="119" spans="8:22" x14ac:dyDescent="0.15">
      <c r="H119" s="43"/>
      <c r="I119" s="154"/>
      <c r="J119" s="154"/>
      <c r="K119" s="154"/>
      <c r="L119" s="154"/>
      <c r="M119" s="154"/>
      <c r="N119" s="154"/>
      <c r="O119" s="154"/>
      <c r="P119" s="43"/>
      <c r="R119" s="43"/>
      <c r="V119" s="43"/>
    </row>
    <row r="120" spans="8:22" x14ac:dyDescent="0.15">
      <c r="H120" s="43"/>
      <c r="I120" s="154"/>
      <c r="J120" s="154"/>
      <c r="K120" s="154"/>
      <c r="L120" s="154"/>
      <c r="M120" s="154"/>
      <c r="N120" s="154"/>
      <c r="O120" s="154"/>
      <c r="P120" s="43"/>
      <c r="R120" s="43"/>
      <c r="V120" s="43"/>
    </row>
    <row r="121" spans="8:22" x14ac:dyDescent="0.15">
      <c r="H121" s="43"/>
      <c r="I121" s="154"/>
      <c r="J121" s="154"/>
      <c r="K121" s="154"/>
      <c r="L121" s="154"/>
      <c r="M121" s="154"/>
      <c r="N121" s="154"/>
      <c r="O121" s="154"/>
      <c r="P121" s="43"/>
      <c r="R121" s="43"/>
      <c r="V121" s="43"/>
    </row>
    <row r="122" spans="8:22" x14ac:dyDescent="0.15">
      <c r="H122" s="43"/>
      <c r="I122" s="154"/>
      <c r="J122" s="154"/>
      <c r="K122" s="154"/>
      <c r="L122" s="154"/>
      <c r="M122" s="154"/>
      <c r="N122" s="154"/>
      <c r="O122" s="154"/>
      <c r="P122" s="43"/>
      <c r="R122" s="43"/>
      <c r="V122" s="43"/>
    </row>
    <row r="123" spans="8:22" x14ac:dyDescent="0.15">
      <c r="H123" s="43"/>
      <c r="I123" s="154"/>
      <c r="J123" s="154"/>
      <c r="K123" s="154"/>
      <c r="L123" s="154"/>
      <c r="M123" s="154"/>
      <c r="N123" s="154"/>
      <c r="O123" s="154"/>
      <c r="P123" s="43"/>
      <c r="R123" s="43"/>
      <c r="V123" s="43"/>
    </row>
    <row r="124" spans="8:22" x14ac:dyDescent="0.15">
      <c r="H124" s="43"/>
      <c r="I124" s="154"/>
      <c r="J124" s="154"/>
      <c r="K124" s="154"/>
      <c r="L124" s="154"/>
      <c r="M124" s="154"/>
      <c r="N124" s="154"/>
      <c r="O124" s="154"/>
      <c r="P124" s="43"/>
      <c r="R124" s="43"/>
      <c r="V124" s="43"/>
    </row>
    <row r="125" spans="8:22" x14ac:dyDescent="0.15">
      <c r="H125" s="43"/>
      <c r="I125" s="154"/>
      <c r="J125" s="154"/>
      <c r="K125" s="154"/>
      <c r="L125" s="154"/>
      <c r="M125" s="154"/>
      <c r="N125" s="154"/>
      <c r="O125" s="154"/>
      <c r="P125" s="43"/>
      <c r="R125" s="43"/>
      <c r="V125" s="43"/>
    </row>
    <row r="126" spans="8:22" x14ac:dyDescent="0.15">
      <c r="H126" s="43"/>
      <c r="I126" s="154"/>
      <c r="J126" s="154"/>
      <c r="K126" s="154"/>
      <c r="L126" s="154"/>
      <c r="M126" s="154"/>
      <c r="N126" s="154"/>
      <c r="O126" s="154"/>
      <c r="P126" s="43"/>
      <c r="R126" s="43"/>
      <c r="V126" s="43"/>
    </row>
    <row r="127" spans="8:22" x14ac:dyDescent="0.15">
      <c r="H127" s="43"/>
      <c r="I127" s="154"/>
      <c r="J127" s="154"/>
      <c r="K127" s="154"/>
      <c r="L127" s="154"/>
      <c r="M127" s="154"/>
      <c r="N127" s="154"/>
      <c r="O127" s="154"/>
      <c r="P127" s="43"/>
      <c r="R127" s="43"/>
      <c r="V127" s="43"/>
    </row>
    <row r="128" spans="8:22" x14ac:dyDescent="0.15">
      <c r="H128" s="43"/>
      <c r="I128" s="154"/>
      <c r="J128" s="154"/>
      <c r="K128" s="154"/>
      <c r="L128" s="154"/>
      <c r="M128" s="154"/>
      <c r="N128" s="154"/>
      <c r="O128" s="154"/>
      <c r="P128" s="43"/>
      <c r="R128" s="43"/>
      <c r="V128" s="43"/>
    </row>
    <row r="129" spans="8:22" x14ac:dyDescent="0.15">
      <c r="H129" s="43"/>
      <c r="I129" s="154"/>
      <c r="J129" s="154"/>
      <c r="K129" s="154"/>
      <c r="L129" s="154"/>
      <c r="M129" s="154"/>
      <c r="N129" s="154"/>
      <c r="O129" s="154"/>
      <c r="P129" s="43"/>
      <c r="R129" s="43"/>
      <c r="V129" s="43"/>
    </row>
    <row r="130" spans="8:22" x14ac:dyDescent="0.15">
      <c r="H130" s="43"/>
      <c r="I130" s="154"/>
      <c r="J130" s="154"/>
      <c r="K130" s="154"/>
      <c r="L130" s="154"/>
      <c r="M130" s="154"/>
      <c r="N130" s="154"/>
      <c r="O130" s="154"/>
      <c r="P130" s="43"/>
      <c r="R130" s="43"/>
      <c r="V130" s="43"/>
    </row>
    <row r="131" spans="8:22" x14ac:dyDescent="0.15">
      <c r="H131" s="43"/>
      <c r="I131" s="154"/>
      <c r="J131" s="154"/>
      <c r="K131" s="154"/>
      <c r="L131" s="154"/>
      <c r="M131" s="154"/>
      <c r="N131" s="154"/>
      <c r="O131" s="154"/>
      <c r="P131" s="43"/>
      <c r="R131" s="43"/>
      <c r="V131" s="43"/>
    </row>
    <row r="132" spans="8:22" x14ac:dyDescent="0.15">
      <c r="H132" s="43"/>
      <c r="I132" s="154"/>
      <c r="J132" s="154"/>
      <c r="K132" s="154"/>
      <c r="L132" s="154"/>
      <c r="M132" s="154"/>
      <c r="N132" s="154"/>
      <c r="O132" s="154"/>
      <c r="P132" s="43"/>
      <c r="R132" s="43"/>
      <c r="V132" s="43"/>
    </row>
    <row r="133" spans="8:22" x14ac:dyDescent="0.15">
      <c r="H133" s="43"/>
      <c r="I133" s="154"/>
      <c r="J133" s="154"/>
      <c r="K133" s="154"/>
      <c r="L133" s="154"/>
      <c r="M133" s="154"/>
      <c r="N133" s="154"/>
      <c r="O133" s="154"/>
      <c r="P133" s="43"/>
      <c r="R133" s="43"/>
      <c r="V133" s="43"/>
    </row>
    <row r="134" spans="8:22" x14ac:dyDescent="0.15">
      <c r="H134" s="43"/>
      <c r="I134" s="154"/>
      <c r="J134" s="154"/>
      <c r="K134" s="154"/>
      <c r="L134" s="154"/>
      <c r="M134" s="154"/>
      <c r="N134" s="154"/>
      <c r="O134" s="154"/>
      <c r="P134" s="43"/>
      <c r="R134" s="43"/>
      <c r="V134" s="43"/>
    </row>
    <row r="135" spans="8:22" x14ac:dyDescent="0.15">
      <c r="H135" s="43"/>
      <c r="I135" s="154"/>
      <c r="J135" s="154"/>
      <c r="K135" s="154"/>
      <c r="L135" s="154"/>
      <c r="M135" s="154"/>
      <c r="N135" s="154"/>
      <c r="O135" s="154"/>
      <c r="P135" s="43"/>
      <c r="R135" s="43"/>
      <c r="V135" s="43"/>
    </row>
    <row r="136" spans="8:22" x14ac:dyDescent="0.15">
      <c r="H136" s="43"/>
      <c r="I136" s="154"/>
      <c r="J136" s="154"/>
      <c r="K136" s="154"/>
      <c r="L136" s="154"/>
      <c r="M136" s="154"/>
      <c r="N136" s="154"/>
      <c r="O136" s="154"/>
      <c r="P136" s="43"/>
      <c r="R136" s="43"/>
      <c r="V136" s="43"/>
    </row>
    <row r="137" spans="8:22" x14ac:dyDescent="0.15">
      <c r="H137" s="43"/>
      <c r="I137" s="154"/>
      <c r="J137" s="154"/>
      <c r="K137" s="154"/>
      <c r="L137" s="154"/>
      <c r="M137" s="154"/>
      <c r="N137" s="154"/>
      <c r="O137" s="154"/>
      <c r="P137" s="43"/>
      <c r="R137" s="43"/>
      <c r="V137" s="43"/>
    </row>
    <row r="138" spans="8:22" x14ac:dyDescent="0.15">
      <c r="H138" s="43"/>
      <c r="I138" s="154"/>
      <c r="J138" s="154"/>
      <c r="K138" s="154"/>
      <c r="L138" s="154"/>
      <c r="M138" s="154"/>
      <c r="N138" s="154"/>
      <c r="O138" s="154"/>
      <c r="P138" s="43"/>
      <c r="R138" s="43"/>
      <c r="V138" s="43"/>
    </row>
    <row r="139" spans="8:22" x14ac:dyDescent="0.15">
      <c r="H139" s="43"/>
      <c r="I139" s="154"/>
      <c r="J139" s="154"/>
      <c r="K139" s="154"/>
      <c r="L139" s="154"/>
      <c r="M139" s="154"/>
      <c r="N139" s="154"/>
      <c r="O139" s="154"/>
      <c r="P139" s="43"/>
      <c r="R139" s="43"/>
      <c r="V139" s="43"/>
    </row>
    <row r="140" spans="8:22" x14ac:dyDescent="0.15">
      <c r="H140" s="43"/>
      <c r="I140" s="154"/>
      <c r="J140" s="154"/>
      <c r="K140" s="154"/>
      <c r="L140" s="154"/>
      <c r="M140" s="154"/>
      <c r="N140" s="154"/>
      <c r="P140" s="43"/>
      <c r="R140" s="43"/>
      <c r="V140" s="43"/>
    </row>
    <row r="141" spans="8:22" x14ac:dyDescent="0.15">
      <c r="H141" s="43"/>
      <c r="I141" s="154"/>
      <c r="J141" s="154"/>
      <c r="K141" s="154"/>
      <c r="L141" s="154"/>
      <c r="M141" s="154"/>
      <c r="N141" s="154"/>
      <c r="P141" s="43"/>
      <c r="R141" s="43"/>
      <c r="V141" s="43"/>
    </row>
    <row r="142" spans="8:22" x14ac:dyDescent="0.15">
      <c r="H142" s="43"/>
      <c r="I142" s="154"/>
      <c r="J142" s="154"/>
      <c r="K142" s="154"/>
      <c r="L142" s="154"/>
      <c r="M142" s="154"/>
      <c r="N142" s="154"/>
      <c r="P142" s="43"/>
      <c r="R142" s="43"/>
      <c r="V142" s="43"/>
    </row>
    <row r="143" spans="8:22" x14ac:dyDescent="0.15">
      <c r="H143" s="43"/>
      <c r="I143" s="154"/>
      <c r="J143" s="154"/>
      <c r="K143" s="154"/>
      <c r="L143" s="154"/>
      <c r="M143" s="154"/>
      <c r="N143" s="154"/>
      <c r="P143" s="43"/>
      <c r="R143" s="43"/>
      <c r="V143" s="43"/>
    </row>
    <row r="144" spans="8:22" x14ac:dyDescent="0.15">
      <c r="H144" s="43"/>
      <c r="I144" s="154"/>
      <c r="J144" s="154"/>
      <c r="K144" s="154"/>
      <c r="L144" s="154"/>
      <c r="M144" s="154"/>
      <c r="N144" s="154"/>
      <c r="P144" s="43"/>
      <c r="R144" s="43"/>
      <c r="V144" s="43"/>
    </row>
    <row r="145" spans="8:22" x14ac:dyDescent="0.15">
      <c r="H145" s="43"/>
      <c r="I145" s="154"/>
      <c r="J145" s="154"/>
      <c r="K145" s="154"/>
      <c r="L145" s="154"/>
      <c r="M145" s="154"/>
      <c r="N145" s="154"/>
      <c r="P145" s="43"/>
      <c r="R145" s="43"/>
      <c r="V145" s="43"/>
    </row>
    <row r="146" spans="8:22" x14ac:dyDescent="0.15">
      <c r="H146" s="43"/>
      <c r="I146" s="154"/>
      <c r="J146" s="154"/>
      <c r="K146" s="154"/>
      <c r="L146" s="154"/>
      <c r="M146" s="154"/>
      <c r="N146" s="154"/>
      <c r="P146" s="43"/>
      <c r="R146" s="43"/>
      <c r="V146" s="43"/>
    </row>
    <row r="147" spans="8:22" x14ac:dyDescent="0.15">
      <c r="H147" s="43"/>
      <c r="I147" s="154"/>
      <c r="J147" s="154"/>
      <c r="K147" s="154"/>
      <c r="L147" s="154"/>
      <c r="M147" s="154"/>
      <c r="N147" s="154"/>
      <c r="P147" s="43"/>
      <c r="R147" s="43"/>
      <c r="V147" s="43"/>
    </row>
    <row r="148" spans="8:22" x14ac:dyDescent="0.15">
      <c r="H148" s="43"/>
      <c r="I148" s="154"/>
      <c r="J148" s="154"/>
      <c r="K148" s="154"/>
      <c r="L148" s="154"/>
      <c r="M148" s="154"/>
      <c r="N148" s="154"/>
      <c r="P148" s="43"/>
      <c r="R148" s="43"/>
      <c r="V148" s="43"/>
    </row>
    <row r="149" spans="8:22" x14ac:dyDescent="0.15">
      <c r="H149" s="43"/>
      <c r="I149" s="154"/>
      <c r="J149" s="154"/>
      <c r="K149" s="154"/>
      <c r="L149" s="154"/>
      <c r="M149" s="154"/>
      <c r="N149" s="154"/>
      <c r="P149" s="43"/>
      <c r="R149" s="43"/>
      <c r="V149" s="43"/>
    </row>
    <row r="150" spans="8:22" x14ac:dyDescent="0.15">
      <c r="H150" s="43"/>
      <c r="I150" s="154"/>
      <c r="J150" s="154"/>
      <c r="K150" s="154"/>
      <c r="L150" s="154"/>
      <c r="M150" s="154"/>
      <c r="N150" s="154"/>
      <c r="P150" s="43"/>
      <c r="R150" s="43"/>
      <c r="V150" s="43"/>
    </row>
    <row r="151" spans="8:22" x14ac:dyDescent="0.15">
      <c r="H151" s="43"/>
      <c r="I151" s="154"/>
      <c r="J151" s="154"/>
      <c r="K151" s="154"/>
      <c r="L151" s="154"/>
      <c r="M151" s="154"/>
      <c r="N151" s="154"/>
      <c r="P151" s="43"/>
      <c r="R151" s="43"/>
      <c r="V151" s="43"/>
    </row>
    <row r="152" spans="8:22" x14ac:dyDescent="0.15">
      <c r="H152" s="43"/>
      <c r="I152" s="154"/>
      <c r="J152" s="154"/>
      <c r="K152" s="154"/>
      <c r="L152" s="154"/>
      <c r="M152" s="154"/>
      <c r="N152" s="154"/>
      <c r="P152" s="43"/>
      <c r="R152" s="43"/>
      <c r="V152" s="43"/>
    </row>
    <row r="153" spans="8:22" x14ac:dyDescent="0.15">
      <c r="H153" s="43"/>
      <c r="I153" s="154"/>
      <c r="J153" s="154"/>
      <c r="K153" s="154"/>
      <c r="L153" s="154"/>
      <c r="M153" s="154"/>
      <c r="N153" s="154"/>
      <c r="P153" s="43"/>
      <c r="R153" s="43"/>
      <c r="V153" s="43"/>
    </row>
    <row r="154" spans="8:22" x14ac:dyDescent="0.15">
      <c r="H154" s="43"/>
      <c r="I154" s="154"/>
      <c r="J154" s="154"/>
      <c r="K154" s="154"/>
      <c r="L154" s="154"/>
      <c r="M154" s="154"/>
      <c r="N154" s="154"/>
      <c r="P154" s="43"/>
      <c r="R154" s="43"/>
      <c r="V154" s="43"/>
    </row>
    <row r="155" spans="8:22" x14ac:dyDescent="0.15">
      <c r="H155" s="43"/>
      <c r="J155" s="154"/>
      <c r="K155" s="154"/>
      <c r="L155" s="154"/>
      <c r="M155" s="154"/>
      <c r="N155" s="154"/>
      <c r="P155" s="43"/>
      <c r="R155" s="43"/>
      <c r="V155" s="43"/>
    </row>
    <row r="156" spans="8:22" x14ac:dyDescent="0.15">
      <c r="H156" s="43"/>
      <c r="J156" s="154"/>
      <c r="K156" s="154"/>
      <c r="L156" s="154"/>
      <c r="M156" s="154"/>
      <c r="N156" s="154"/>
      <c r="P156" s="43"/>
      <c r="R156" s="43"/>
      <c r="V156" s="43"/>
    </row>
    <row r="173" spans="8:22" x14ac:dyDescent="0.15">
      <c r="H173" s="43"/>
      <c r="O173" s="154"/>
      <c r="P173" s="43"/>
      <c r="R173" s="43"/>
      <c r="V173" s="43"/>
    </row>
    <row r="174" spans="8:22" x14ac:dyDescent="0.15">
      <c r="H174" s="43"/>
      <c r="O174" s="154"/>
      <c r="P174" s="43"/>
      <c r="R174" s="43"/>
      <c r="V174" s="43"/>
    </row>
    <row r="175" spans="8:22" x14ac:dyDescent="0.15">
      <c r="H175" s="43"/>
      <c r="O175" s="154"/>
      <c r="P175" s="43"/>
      <c r="R175" s="43"/>
      <c r="V175" s="43"/>
    </row>
    <row r="176" spans="8:22" x14ac:dyDescent="0.15">
      <c r="H176" s="43"/>
      <c r="O176" s="154"/>
      <c r="P176" s="43"/>
      <c r="R176" s="43"/>
      <c r="V176" s="43"/>
    </row>
    <row r="177" spans="8:22" x14ac:dyDescent="0.15">
      <c r="H177" s="43"/>
      <c r="O177" s="154"/>
      <c r="P177" s="43"/>
      <c r="R177" s="43"/>
      <c r="V177" s="43"/>
    </row>
    <row r="178" spans="8:22" x14ac:dyDescent="0.15">
      <c r="H178" s="43"/>
      <c r="O178" s="154"/>
      <c r="P178" s="43"/>
      <c r="R178" s="43"/>
      <c r="V178" s="43"/>
    </row>
    <row r="179" spans="8:22" x14ac:dyDescent="0.15">
      <c r="H179" s="43"/>
      <c r="O179" s="154"/>
      <c r="P179" s="43"/>
      <c r="R179" s="43"/>
      <c r="V179" s="43"/>
    </row>
    <row r="180" spans="8:22" x14ac:dyDescent="0.15">
      <c r="H180" s="43"/>
      <c r="O180" s="154"/>
      <c r="P180" s="43"/>
      <c r="R180" s="43"/>
      <c r="V180" s="43"/>
    </row>
    <row r="181" spans="8:22" x14ac:dyDescent="0.15">
      <c r="H181" s="43"/>
      <c r="O181" s="154"/>
      <c r="P181" s="43"/>
      <c r="R181" s="43"/>
      <c r="V181" s="43"/>
    </row>
    <row r="182" spans="8:22" x14ac:dyDescent="0.15">
      <c r="H182" s="43"/>
      <c r="O182" s="154"/>
      <c r="P182" s="43"/>
      <c r="R182" s="43"/>
      <c r="V182" s="43"/>
    </row>
    <row r="183" spans="8:22" x14ac:dyDescent="0.15">
      <c r="H183" s="43"/>
      <c r="O183" s="154"/>
      <c r="P183" s="43"/>
      <c r="R183" s="43"/>
      <c r="V183" s="43"/>
    </row>
    <row r="184" spans="8:22" x14ac:dyDescent="0.15">
      <c r="H184" s="43"/>
      <c r="O184" s="154"/>
      <c r="P184" s="43"/>
      <c r="R184" s="43"/>
      <c r="V184" s="43"/>
    </row>
    <row r="185" spans="8:22" x14ac:dyDescent="0.15">
      <c r="H185" s="43"/>
      <c r="O185" s="154"/>
      <c r="P185" s="43"/>
      <c r="R185" s="43"/>
      <c r="V185" s="43"/>
    </row>
    <row r="186" spans="8:22" x14ac:dyDescent="0.15">
      <c r="H186" s="43"/>
      <c r="O186" s="154"/>
      <c r="P186" s="43"/>
      <c r="R186" s="43"/>
      <c r="V186" s="43"/>
    </row>
    <row r="187" spans="8:22" x14ac:dyDescent="0.15">
      <c r="H187" s="43"/>
      <c r="O187" s="154"/>
      <c r="P187" s="43"/>
      <c r="R187" s="43"/>
      <c r="V187" s="43"/>
    </row>
    <row r="188" spans="8:22" x14ac:dyDescent="0.15">
      <c r="H188" s="43"/>
      <c r="O188" s="154"/>
      <c r="P188" s="43"/>
      <c r="R188" s="43"/>
      <c r="V188" s="43"/>
    </row>
    <row r="189" spans="8:22" x14ac:dyDescent="0.15">
      <c r="H189" s="43"/>
      <c r="O189" s="154"/>
      <c r="P189" s="43"/>
      <c r="R189" s="43"/>
      <c r="V189" s="43"/>
    </row>
    <row r="190" spans="8:22" x14ac:dyDescent="0.15">
      <c r="H190" s="43"/>
      <c r="O190" s="154"/>
      <c r="P190" s="43"/>
      <c r="R190" s="43"/>
      <c r="V190" s="43"/>
    </row>
    <row r="191" spans="8:22" x14ac:dyDescent="0.15">
      <c r="H191" s="43"/>
      <c r="O191" s="154"/>
      <c r="P191" s="43"/>
      <c r="R191" s="43"/>
      <c r="V191" s="43"/>
    </row>
    <row r="192" spans="8:22" x14ac:dyDescent="0.15">
      <c r="H192" s="43"/>
      <c r="O192" s="154"/>
      <c r="P192" s="43"/>
      <c r="R192" s="43"/>
      <c r="V192" s="43"/>
    </row>
  </sheetData>
  <mergeCells count="70">
    <mergeCell ref="P57:Q57"/>
    <mergeCell ref="B50:B53"/>
    <mergeCell ref="K50:L50"/>
    <mergeCell ref="I51:I56"/>
    <mergeCell ref="K51:L51"/>
    <mergeCell ref="Q51:Q55"/>
    <mergeCell ref="K52:L52"/>
    <mergeCell ref="K53:L53"/>
    <mergeCell ref="B54:B57"/>
    <mergeCell ref="K54:L54"/>
    <mergeCell ref="K55:L55"/>
    <mergeCell ref="I47:I50"/>
    <mergeCell ref="P45:P56"/>
    <mergeCell ref="Q45:Q49"/>
    <mergeCell ref="K47:L47"/>
    <mergeCell ref="K48:L48"/>
    <mergeCell ref="K49:L49"/>
    <mergeCell ref="K56:L56"/>
    <mergeCell ref="I57:J57"/>
    <mergeCell ref="K57:L57"/>
    <mergeCell ref="K41:L41"/>
    <mergeCell ref="K42:L42"/>
    <mergeCell ref="I43:I46"/>
    <mergeCell ref="K43:L43"/>
    <mergeCell ref="K44:L44"/>
    <mergeCell ref="K45:L45"/>
    <mergeCell ref="K46:L46"/>
    <mergeCell ref="B21:B24"/>
    <mergeCell ref="I21:I24"/>
    <mergeCell ref="T21:U21"/>
    <mergeCell ref="I25:I28"/>
    <mergeCell ref="B28:B38"/>
    <mergeCell ref="I29:I32"/>
    <mergeCell ref="K35:L35"/>
    <mergeCell ref="I36:I42"/>
    <mergeCell ref="K36:L36"/>
    <mergeCell ref="K37:L37"/>
    <mergeCell ref="Q37:R37"/>
    <mergeCell ref="K38:L38"/>
    <mergeCell ref="P38:P44"/>
    <mergeCell ref="B39:B49"/>
    <mergeCell ref="K39:L39"/>
    <mergeCell ref="K40:L40"/>
    <mergeCell ref="B17:B20"/>
    <mergeCell ref="I17:I20"/>
    <mergeCell ref="T17:U17"/>
    <mergeCell ref="T18:U18"/>
    <mergeCell ref="T19:U19"/>
    <mergeCell ref="T20:U20"/>
    <mergeCell ref="I13:I16"/>
    <mergeCell ref="T13:U13"/>
    <mergeCell ref="T14:U14"/>
    <mergeCell ref="T15:U15"/>
    <mergeCell ref="T16:U16"/>
    <mergeCell ref="B5:B7"/>
    <mergeCell ref="T5:U5"/>
    <mergeCell ref="I6:I12"/>
    <mergeCell ref="T6:U6"/>
    <mergeCell ref="T7:U7"/>
    <mergeCell ref="I4:I5"/>
    <mergeCell ref="J4:J5"/>
    <mergeCell ref="M4:M5"/>
    <mergeCell ref="N4:N5"/>
    <mergeCell ref="T4:U4"/>
    <mergeCell ref="B8:B11"/>
    <mergeCell ref="T8:U8"/>
    <mergeCell ref="T9:U9"/>
    <mergeCell ref="T11:U11"/>
    <mergeCell ref="B12:B16"/>
    <mergeCell ref="T12:U12"/>
  </mergeCells>
  <phoneticPr fontId="4"/>
  <pageMargins left="0.7" right="0.7" top="0.75" bottom="0.75" header="0.3" footer="0.3"/>
  <pageSetup paperSize="9" scale="6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0"/>
  <sheetViews>
    <sheetView showZeros="0" zoomScale="75" zoomScaleNormal="75" zoomScaleSheetLayoutView="80" workbookViewId="0"/>
  </sheetViews>
  <sheetFormatPr defaultRowHeight="13.5" x14ac:dyDescent="0.15"/>
  <cols>
    <col min="1" max="1" width="1.625" style="43" customWidth="1"/>
    <col min="2" max="2" width="3.625" style="43" customWidth="1"/>
    <col min="3" max="3" width="15.625" style="43" customWidth="1"/>
    <col min="4" max="7" width="8.625" style="43" customWidth="1"/>
    <col min="8" max="8" width="1.625" style="154" customWidth="1"/>
    <col min="9" max="9" width="3.625" style="43" customWidth="1"/>
    <col min="10" max="10" width="15.625" style="43" customWidth="1"/>
    <col min="11" max="14" width="8.625" style="43" customWidth="1"/>
    <col min="15" max="15" width="3.5" style="43" customWidth="1"/>
    <col min="16" max="16" width="15.625" style="127" customWidth="1"/>
    <col min="17" max="17" width="8.625" style="43" customWidth="1"/>
    <col min="18" max="18" width="8.625" style="44" customWidth="1"/>
    <col min="19" max="21" width="8.625" style="43" customWidth="1"/>
    <col min="22" max="22" width="10.625" style="44" customWidth="1"/>
    <col min="23" max="245" width="9" style="43"/>
    <col min="246" max="246" width="1.375" style="43" customWidth="1"/>
    <col min="247" max="247" width="3.5" style="43" customWidth="1"/>
    <col min="248" max="248" width="22.125" style="43" customWidth="1"/>
    <col min="249" max="249" width="9.75" style="43" customWidth="1"/>
    <col min="250" max="250" width="7.375" style="43" customWidth="1"/>
    <col min="251" max="251" width="9" style="43"/>
    <col min="252" max="252" width="9.25" style="43" customWidth="1"/>
    <col min="253" max="253" width="3.5" style="43" customWidth="1"/>
    <col min="254" max="255" width="12.625" style="43" customWidth="1"/>
    <col min="256" max="256" width="9" style="43"/>
    <col min="257" max="257" width="7.75" style="43" customWidth="1"/>
    <col min="258" max="258" width="13.125" style="43" customWidth="1"/>
    <col min="259" max="259" width="6.125" style="43" customWidth="1"/>
    <col min="260" max="260" width="9.75" style="43" customWidth="1"/>
    <col min="261" max="261" width="1.375" style="43" customWidth="1"/>
    <col min="262" max="501" width="9" style="43"/>
    <col min="502" max="502" width="1.375" style="43" customWidth="1"/>
    <col min="503" max="503" width="3.5" style="43" customWidth="1"/>
    <col min="504" max="504" width="22.125" style="43" customWidth="1"/>
    <col min="505" max="505" width="9.75" style="43" customWidth="1"/>
    <col min="506" max="506" width="7.375" style="43" customWidth="1"/>
    <col min="507" max="507" width="9" style="43"/>
    <col min="508" max="508" width="9.25" style="43" customWidth="1"/>
    <col min="509" max="509" width="3.5" style="43" customWidth="1"/>
    <col min="510" max="511" width="12.625" style="43" customWidth="1"/>
    <col min="512" max="512" width="9" style="43"/>
    <col min="513" max="513" width="7.75" style="43" customWidth="1"/>
    <col min="514" max="514" width="13.125" style="43" customWidth="1"/>
    <col min="515" max="515" width="6.125" style="43" customWidth="1"/>
    <col min="516" max="516" width="9.75" style="43" customWidth="1"/>
    <col min="517" max="517" width="1.375" style="43" customWidth="1"/>
    <col min="518" max="757" width="9" style="43"/>
    <col min="758" max="758" width="1.375" style="43" customWidth="1"/>
    <col min="759" max="759" width="3.5" style="43" customWidth="1"/>
    <col min="760" max="760" width="22.125" style="43" customWidth="1"/>
    <col min="761" max="761" width="9.75" style="43" customWidth="1"/>
    <col min="762" max="762" width="7.375" style="43" customWidth="1"/>
    <col min="763" max="763" width="9" style="43"/>
    <col min="764" max="764" width="9.25" style="43" customWidth="1"/>
    <col min="765" max="765" width="3.5" style="43" customWidth="1"/>
    <col min="766" max="767" width="12.625" style="43" customWidth="1"/>
    <col min="768" max="768" width="9" style="43"/>
    <col min="769" max="769" width="7.75" style="43" customWidth="1"/>
    <col min="770" max="770" width="13.125" style="43" customWidth="1"/>
    <col min="771" max="771" width="6.125" style="43" customWidth="1"/>
    <col min="772" max="772" width="9.75" style="43" customWidth="1"/>
    <col min="773" max="773" width="1.375" style="43" customWidth="1"/>
    <col min="774" max="1013" width="9" style="43"/>
    <col min="1014" max="1014" width="1.375" style="43" customWidth="1"/>
    <col min="1015" max="1015" width="3.5" style="43" customWidth="1"/>
    <col min="1016" max="1016" width="22.125" style="43" customWidth="1"/>
    <col min="1017" max="1017" width="9.75" style="43" customWidth="1"/>
    <col min="1018" max="1018" width="7.375" style="43" customWidth="1"/>
    <col min="1019" max="1019" width="9" style="43"/>
    <col min="1020" max="1020" width="9.25" style="43" customWidth="1"/>
    <col min="1021" max="1021" width="3.5" style="43" customWidth="1"/>
    <col min="1022" max="1023" width="12.625" style="43" customWidth="1"/>
    <col min="1024" max="1024" width="9" style="43"/>
    <col min="1025" max="1025" width="7.75" style="43" customWidth="1"/>
    <col min="1026" max="1026" width="13.125" style="43" customWidth="1"/>
    <col min="1027" max="1027" width="6.125" style="43" customWidth="1"/>
    <col min="1028" max="1028" width="9.75" style="43" customWidth="1"/>
    <col min="1029" max="1029" width="1.375" style="43" customWidth="1"/>
    <col min="1030" max="1269" width="9" style="43"/>
    <col min="1270" max="1270" width="1.375" style="43" customWidth="1"/>
    <col min="1271" max="1271" width="3.5" style="43" customWidth="1"/>
    <col min="1272" max="1272" width="22.125" style="43" customWidth="1"/>
    <col min="1273" max="1273" width="9.75" style="43" customWidth="1"/>
    <col min="1274" max="1274" width="7.375" style="43" customWidth="1"/>
    <col min="1275" max="1275" width="9" style="43"/>
    <col min="1276" max="1276" width="9.25" style="43" customWidth="1"/>
    <col min="1277" max="1277" width="3.5" style="43" customWidth="1"/>
    <col min="1278" max="1279" width="12.625" style="43" customWidth="1"/>
    <col min="1280" max="1280" width="9" style="43"/>
    <col min="1281" max="1281" width="7.75" style="43" customWidth="1"/>
    <col min="1282" max="1282" width="13.125" style="43" customWidth="1"/>
    <col min="1283" max="1283" width="6.125" style="43" customWidth="1"/>
    <col min="1284" max="1284" width="9.75" style="43" customWidth="1"/>
    <col min="1285" max="1285" width="1.375" style="43" customWidth="1"/>
    <col min="1286" max="1525" width="9" style="43"/>
    <col min="1526" max="1526" width="1.375" style="43" customWidth="1"/>
    <col min="1527" max="1527" width="3.5" style="43" customWidth="1"/>
    <col min="1528" max="1528" width="22.125" style="43" customWidth="1"/>
    <col min="1529" max="1529" width="9.75" style="43" customWidth="1"/>
    <col min="1530" max="1530" width="7.375" style="43" customWidth="1"/>
    <col min="1531" max="1531" width="9" style="43"/>
    <col min="1532" max="1532" width="9.25" style="43" customWidth="1"/>
    <col min="1533" max="1533" width="3.5" style="43" customWidth="1"/>
    <col min="1534" max="1535" width="12.625" style="43" customWidth="1"/>
    <col min="1536" max="1536" width="9" style="43"/>
    <col min="1537" max="1537" width="7.75" style="43" customWidth="1"/>
    <col min="1538" max="1538" width="13.125" style="43" customWidth="1"/>
    <col min="1539" max="1539" width="6.125" style="43" customWidth="1"/>
    <col min="1540" max="1540" width="9.75" style="43" customWidth="1"/>
    <col min="1541" max="1541" width="1.375" style="43" customWidth="1"/>
    <col min="1542" max="1781" width="9" style="43"/>
    <col min="1782" max="1782" width="1.375" style="43" customWidth="1"/>
    <col min="1783" max="1783" width="3.5" style="43" customWidth="1"/>
    <col min="1784" max="1784" width="22.125" style="43" customWidth="1"/>
    <col min="1785" max="1785" width="9.75" style="43" customWidth="1"/>
    <col min="1786" max="1786" width="7.375" style="43" customWidth="1"/>
    <col min="1787" max="1787" width="9" style="43"/>
    <col min="1788" max="1788" width="9.25" style="43" customWidth="1"/>
    <col min="1789" max="1789" width="3.5" style="43" customWidth="1"/>
    <col min="1790" max="1791" width="12.625" style="43" customWidth="1"/>
    <col min="1792" max="1792" width="9" style="43"/>
    <col min="1793" max="1793" width="7.75" style="43" customWidth="1"/>
    <col min="1794" max="1794" width="13.125" style="43" customWidth="1"/>
    <col min="1795" max="1795" width="6.125" style="43" customWidth="1"/>
    <col min="1796" max="1796" width="9.75" style="43" customWidth="1"/>
    <col min="1797" max="1797" width="1.375" style="43" customWidth="1"/>
    <col min="1798" max="2037" width="9" style="43"/>
    <col min="2038" max="2038" width="1.375" style="43" customWidth="1"/>
    <col min="2039" max="2039" width="3.5" style="43" customWidth="1"/>
    <col min="2040" max="2040" width="22.125" style="43" customWidth="1"/>
    <col min="2041" max="2041" width="9.75" style="43" customWidth="1"/>
    <col min="2042" max="2042" width="7.375" style="43" customWidth="1"/>
    <col min="2043" max="2043" width="9" style="43"/>
    <col min="2044" max="2044" width="9.25" style="43" customWidth="1"/>
    <col min="2045" max="2045" width="3.5" style="43" customWidth="1"/>
    <col min="2046" max="2047" width="12.625" style="43" customWidth="1"/>
    <col min="2048" max="2048" width="9" style="43"/>
    <col min="2049" max="2049" width="7.75" style="43" customWidth="1"/>
    <col min="2050" max="2050" width="13.125" style="43" customWidth="1"/>
    <col min="2051" max="2051" width="6.125" style="43" customWidth="1"/>
    <col min="2052" max="2052" width="9.75" style="43" customWidth="1"/>
    <col min="2053" max="2053" width="1.375" style="43" customWidth="1"/>
    <col min="2054" max="2293" width="9" style="43"/>
    <col min="2294" max="2294" width="1.375" style="43" customWidth="1"/>
    <col min="2295" max="2295" width="3.5" style="43" customWidth="1"/>
    <col min="2296" max="2296" width="22.125" style="43" customWidth="1"/>
    <col min="2297" max="2297" width="9.75" style="43" customWidth="1"/>
    <col min="2298" max="2298" width="7.375" style="43" customWidth="1"/>
    <col min="2299" max="2299" width="9" style="43"/>
    <col min="2300" max="2300" width="9.25" style="43" customWidth="1"/>
    <col min="2301" max="2301" width="3.5" style="43" customWidth="1"/>
    <col min="2302" max="2303" width="12.625" style="43" customWidth="1"/>
    <col min="2304" max="2304" width="9" style="43"/>
    <col min="2305" max="2305" width="7.75" style="43" customWidth="1"/>
    <col min="2306" max="2306" width="13.125" style="43" customWidth="1"/>
    <col min="2307" max="2307" width="6.125" style="43" customWidth="1"/>
    <col min="2308" max="2308" width="9.75" style="43" customWidth="1"/>
    <col min="2309" max="2309" width="1.375" style="43" customWidth="1"/>
    <col min="2310" max="2549" width="9" style="43"/>
    <col min="2550" max="2550" width="1.375" style="43" customWidth="1"/>
    <col min="2551" max="2551" width="3.5" style="43" customWidth="1"/>
    <col min="2552" max="2552" width="22.125" style="43" customWidth="1"/>
    <col min="2553" max="2553" width="9.75" style="43" customWidth="1"/>
    <col min="2554" max="2554" width="7.375" style="43" customWidth="1"/>
    <col min="2555" max="2555" width="9" style="43"/>
    <col min="2556" max="2556" width="9.25" style="43" customWidth="1"/>
    <col min="2557" max="2557" width="3.5" style="43" customWidth="1"/>
    <col min="2558" max="2559" width="12.625" style="43" customWidth="1"/>
    <col min="2560" max="2560" width="9" style="43"/>
    <col min="2561" max="2561" width="7.75" style="43" customWidth="1"/>
    <col min="2562" max="2562" width="13.125" style="43" customWidth="1"/>
    <col min="2563" max="2563" width="6.125" style="43" customWidth="1"/>
    <col min="2564" max="2564" width="9.75" style="43" customWidth="1"/>
    <col min="2565" max="2565" width="1.375" style="43" customWidth="1"/>
    <col min="2566" max="2805" width="9" style="43"/>
    <col min="2806" max="2806" width="1.375" style="43" customWidth="1"/>
    <col min="2807" max="2807" width="3.5" style="43" customWidth="1"/>
    <col min="2808" max="2808" width="22.125" style="43" customWidth="1"/>
    <col min="2809" max="2809" width="9.75" style="43" customWidth="1"/>
    <col min="2810" max="2810" width="7.375" style="43" customWidth="1"/>
    <col min="2811" max="2811" width="9" style="43"/>
    <col min="2812" max="2812" width="9.25" style="43" customWidth="1"/>
    <col min="2813" max="2813" width="3.5" style="43" customWidth="1"/>
    <col min="2814" max="2815" width="12.625" style="43" customWidth="1"/>
    <col min="2816" max="2816" width="9" style="43"/>
    <col min="2817" max="2817" width="7.75" style="43" customWidth="1"/>
    <col min="2818" max="2818" width="13.125" style="43" customWidth="1"/>
    <col min="2819" max="2819" width="6.125" style="43" customWidth="1"/>
    <col min="2820" max="2820" width="9.75" style="43" customWidth="1"/>
    <col min="2821" max="2821" width="1.375" style="43" customWidth="1"/>
    <col min="2822" max="3061" width="9" style="43"/>
    <col min="3062" max="3062" width="1.375" style="43" customWidth="1"/>
    <col min="3063" max="3063" width="3.5" style="43" customWidth="1"/>
    <col min="3064" max="3064" width="22.125" style="43" customWidth="1"/>
    <col min="3065" max="3065" width="9.75" style="43" customWidth="1"/>
    <col min="3066" max="3066" width="7.375" style="43" customWidth="1"/>
    <col min="3067" max="3067" width="9" style="43"/>
    <col min="3068" max="3068" width="9.25" style="43" customWidth="1"/>
    <col min="3069" max="3069" width="3.5" style="43" customWidth="1"/>
    <col min="3070" max="3071" width="12.625" style="43" customWidth="1"/>
    <col min="3072" max="3072" width="9" style="43"/>
    <col min="3073" max="3073" width="7.75" style="43" customWidth="1"/>
    <col min="3074" max="3074" width="13.125" style="43" customWidth="1"/>
    <col min="3075" max="3075" width="6.125" style="43" customWidth="1"/>
    <col min="3076" max="3076" width="9.75" style="43" customWidth="1"/>
    <col min="3077" max="3077" width="1.375" style="43" customWidth="1"/>
    <col min="3078" max="3317" width="9" style="43"/>
    <col min="3318" max="3318" width="1.375" style="43" customWidth="1"/>
    <col min="3319" max="3319" width="3.5" style="43" customWidth="1"/>
    <col min="3320" max="3320" width="22.125" style="43" customWidth="1"/>
    <col min="3321" max="3321" width="9.75" style="43" customWidth="1"/>
    <col min="3322" max="3322" width="7.375" style="43" customWidth="1"/>
    <col min="3323" max="3323" width="9" style="43"/>
    <col min="3324" max="3324" width="9.25" style="43" customWidth="1"/>
    <col min="3325" max="3325" width="3.5" style="43" customWidth="1"/>
    <col min="3326" max="3327" width="12.625" style="43" customWidth="1"/>
    <col min="3328" max="3328" width="9" style="43"/>
    <col min="3329" max="3329" width="7.75" style="43" customWidth="1"/>
    <col min="3330" max="3330" width="13.125" style="43" customWidth="1"/>
    <col min="3331" max="3331" width="6.125" style="43" customWidth="1"/>
    <col min="3332" max="3332" width="9.75" style="43" customWidth="1"/>
    <col min="3333" max="3333" width="1.375" style="43" customWidth="1"/>
    <col min="3334" max="3573" width="9" style="43"/>
    <col min="3574" max="3574" width="1.375" style="43" customWidth="1"/>
    <col min="3575" max="3575" width="3.5" style="43" customWidth="1"/>
    <col min="3576" max="3576" width="22.125" style="43" customWidth="1"/>
    <col min="3577" max="3577" width="9.75" style="43" customWidth="1"/>
    <col min="3578" max="3578" width="7.375" style="43" customWidth="1"/>
    <col min="3579" max="3579" width="9" style="43"/>
    <col min="3580" max="3580" width="9.25" style="43" customWidth="1"/>
    <col min="3581" max="3581" width="3.5" style="43" customWidth="1"/>
    <col min="3582" max="3583" width="12.625" style="43" customWidth="1"/>
    <col min="3584" max="3584" width="9" style="43"/>
    <col min="3585" max="3585" width="7.75" style="43" customWidth="1"/>
    <col min="3586" max="3586" width="13.125" style="43" customWidth="1"/>
    <col min="3587" max="3587" width="6.125" style="43" customWidth="1"/>
    <col min="3588" max="3588" width="9.75" style="43" customWidth="1"/>
    <col min="3589" max="3589" width="1.375" style="43" customWidth="1"/>
    <col min="3590" max="3829" width="9" style="43"/>
    <col min="3830" max="3830" width="1.375" style="43" customWidth="1"/>
    <col min="3831" max="3831" width="3.5" style="43" customWidth="1"/>
    <col min="3832" max="3832" width="22.125" style="43" customWidth="1"/>
    <col min="3833" max="3833" width="9.75" style="43" customWidth="1"/>
    <col min="3834" max="3834" width="7.375" style="43" customWidth="1"/>
    <col min="3835" max="3835" width="9" style="43"/>
    <col min="3836" max="3836" width="9.25" style="43" customWidth="1"/>
    <col min="3837" max="3837" width="3.5" style="43" customWidth="1"/>
    <col min="3838" max="3839" width="12.625" style="43" customWidth="1"/>
    <col min="3840" max="3840" width="9" style="43"/>
    <col min="3841" max="3841" width="7.75" style="43" customWidth="1"/>
    <col min="3842" max="3842" width="13.125" style="43" customWidth="1"/>
    <col min="3843" max="3843" width="6.125" style="43" customWidth="1"/>
    <col min="3844" max="3844" width="9.75" style="43" customWidth="1"/>
    <col min="3845" max="3845" width="1.375" style="43" customWidth="1"/>
    <col min="3846" max="4085" width="9" style="43"/>
    <col min="4086" max="4086" width="1.375" style="43" customWidth="1"/>
    <col min="4087" max="4087" width="3.5" style="43" customWidth="1"/>
    <col min="4088" max="4088" width="22.125" style="43" customWidth="1"/>
    <col min="4089" max="4089" width="9.75" style="43" customWidth="1"/>
    <col min="4090" max="4090" width="7.375" style="43" customWidth="1"/>
    <col min="4091" max="4091" width="9" style="43"/>
    <col min="4092" max="4092" width="9.25" style="43" customWidth="1"/>
    <col min="4093" max="4093" width="3.5" style="43" customWidth="1"/>
    <col min="4094" max="4095" width="12.625" style="43" customWidth="1"/>
    <col min="4096" max="4096" width="9" style="43"/>
    <col min="4097" max="4097" width="7.75" style="43" customWidth="1"/>
    <col min="4098" max="4098" width="13.125" style="43" customWidth="1"/>
    <col min="4099" max="4099" width="6.125" style="43" customWidth="1"/>
    <col min="4100" max="4100" width="9.75" style="43" customWidth="1"/>
    <col min="4101" max="4101" width="1.375" style="43" customWidth="1"/>
    <col min="4102" max="4341" width="9" style="43"/>
    <col min="4342" max="4342" width="1.375" style="43" customWidth="1"/>
    <col min="4343" max="4343" width="3.5" style="43" customWidth="1"/>
    <col min="4344" max="4344" width="22.125" style="43" customWidth="1"/>
    <col min="4345" max="4345" width="9.75" style="43" customWidth="1"/>
    <col min="4346" max="4346" width="7.375" style="43" customWidth="1"/>
    <col min="4347" max="4347" width="9" style="43"/>
    <col min="4348" max="4348" width="9.25" style="43" customWidth="1"/>
    <col min="4349" max="4349" width="3.5" style="43" customWidth="1"/>
    <col min="4350" max="4351" width="12.625" style="43" customWidth="1"/>
    <col min="4352" max="4352" width="9" style="43"/>
    <col min="4353" max="4353" width="7.75" style="43" customWidth="1"/>
    <col min="4354" max="4354" width="13.125" style="43" customWidth="1"/>
    <col min="4355" max="4355" width="6.125" style="43" customWidth="1"/>
    <col min="4356" max="4356" width="9.75" style="43" customWidth="1"/>
    <col min="4357" max="4357" width="1.375" style="43" customWidth="1"/>
    <col min="4358" max="4597" width="9" style="43"/>
    <col min="4598" max="4598" width="1.375" style="43" customWidth="1"/>
    <col min="4599" max="4599" width="3.5" style="43" customWidth="1"/>
    <col min="4600" max="4600" width="22.125" style="43" customWidth="1"/>
    <col min="4601" max="4601" width="9.75" style="43" customWidth="1"/>
    <col min="4602" max="4602" width="7.375" style="43" customWidth="1"/>
    <col min="4603" max="4603" width="9" style="43"/>
    <col min="4604" max="4604" width="9.25" style="43" customWidth="1"/>
    <col min="4605" max="4605" width="3.5" style="43" customWidth="1"/>
    <col min="4606" max="4607" width="12.625" style="43" customWidth="1"/>
    <col min="4608" max="4608" width="9" style="43"/>
    <col min="4609" max="4609" width="7.75" style="43" customWidth="1"/>
    <col min="4610" max="4610" width="13.125" style="43" customWidth="1"/>
    <col min="4611" max="4611" width="6.125" style="43" customWidth="1"/>
    <col min="4612" max="4612" width="9.75" style="43" customWidth="1"/>
    <col min="4613" max="4613" width="1.375" style="43" customWidth="1"/>
    <col min="4614" max="4853" width="9" style="43"/>
    <col min="4854" max="4854" width="1.375" style="43" customWidth="1"/>
    <col min="4855" max="4855" width="3.5" style="43" customWidth="1"/>
    <col min="4856" max="4856" width="22.125" style="43" customWidth="1"/>
    <col min="4857" max="4857" width="9.75" style="43" customWidth="1"/>
    <col min="4858" max="4858" width="7.375" style="43" customWidth="1"/>
    <col min="4859" max="4859" width="9" style="43"/>
    <col min="4860" max="4860" width="9.25" style="43" customWidth="1"/>
    <col min="4861" max="4861" width="3.5" style="43" customWidth="1"/>
    <col min="4862" max="4863" width="12.625" style="43" customWidth="1"/>
    <col min="4864" max="4864" width="9" style="43"/>
    <col min="4865" max="4865" width="7.75" style="43" customWidth="1"/>
    <col min="4866" max="4866" width="13.125" style="43" customWidth="1"/>
    <col min="4867" max="4867" width="6.125" style="43" customWidth="1"/>
    <col min="4868" max="4868" width="9.75" style="43" customWidth="1"/>
    <col min="4869" max="4869" width="1.375" style="43" customWidth="1"/>
    <col min="4870" max="5109" width="9" style="43"/>
    <col min="5110" max="5110" width="1.375" style="43" customWidth="1"/>
    <col min="5111" max="5111" width="3.5" style="43" customWidth="1"/>
    <col min="5112" max="5112" width="22.125" style="43" customWidth="1"/>
    <col min="5113" max="5113" width="9.75" style="43" customWidth="1"/>
    <col min="5114" max="5114" width="7.375" style="43" customWidth="1"/>
    <col min="5115" max="5115" width="9" style="43"/>
    <col min="5116" max="5116" width="9.25" style="43" customWidth="1"/>
    <col min="5117" max="5117" width="3.5" style="43" customWidth="1"/>
    <col min="5118" max="5119" width="12.625" style="43" customWidth="1"/>
    <col min="5120" max="5120" width="9" style="43"/>
    <col min="5121" max="5121" width="7.75" style="43" customWidth="1"/>
    <col min="5122" max="5122" width="13.125" style="43" customWidth="1"/>
    <col min="5123" max="5123" width="6.125" style="43" customWidth="1"/>
    <col min="5124" max="5124" width="9.75" style="43" customWidth="1"/>
    <col min="5125" max="5125" width="1.375" style="43" customWidth="1"/>
    <col min="5126" max="5365" width="9" style="43"/>
    <col min="5366" max="5366" width="1.375" style="43" customWidth="1"/>
    <col min="5367" max="5367" width="3.5" style="43" customWidth="1"/>
    <col min="5368" max="5368" width="22.125" style="43" customWidth="1"/>
    <col min="5369" max="5369" width="9.75" style="43" customWidth="1"/>
    <col min="5370" max="5370" width="7.375" style="43" customWidth="1"/>
    <col min="5371" max="5371" width="9" style="43"/>
    <col min="5372" max="5372" width="9.25" style="43" customWidth="1"/>
    <col min="5373" max="5373" width="3.5" style="43" customWidth="1"/>
    <col min="5374" max="5375" width="12.625" style="43" customWidth="1"/>
    <col min="5376" max="5376" width="9" style="43"/>
    <col min="5377" max="5377" width="7.75" style="43" customWidth="1"/>
    <col min="5378" max="5378" width="13.125" style="43" customWidth="1"/>
    <col min="5379" max="5379" width="6.125" style="43" customWidth="1"/>
    <col min="5380" max="5380" width="9.75" style="43" customWidth="1"/>
    <col min="5381" max="5381" width="1.375" style="43" customWidth="1"/>
    <col min="5382" max="5621" width="9" style="43"/>
    <col min="5622" max="5622" width="1.375" style="43" customWidth="1"/>
    <col min="5623" max="5623" width="3.5" style="43" customWidth="1"/>
    <col min="5624" max="5624" width="22.125" style="43" customWidth="1"/>
    <col min="5625" max="5625" width="9.75" style="43" customWidth="1"/>
    <col min="5626" max="5626" width="7.375" style="43" customWidth="1"/>
    <col min="5627" max="5627" width="9" style="43"/>
    <col min="5628" max="5628" width="9.25" style="43" customWidth="1"/>
    <col min="5629" max="5629" width="3.5" style="43" customWidth="1"/>
    <col min="5630" max="5631" width="12.625" style="43" customWidth="1"/>
    <col min="5632" max="5632" width="9" style="43"/>
    <col min="5633" max="5633" width="7.75" style="43" customWidth="1"/>
    <col min="5634" max="5634" width="13.125" style="43" customWidth="1"/>
    <col min="5635" max="5635" width="6.125" style="43" customWidth="1"/>
    <col min="5636" max="5636" width="9.75" style="43" customWidth="1"/>
    <col min="5637" max="5637" width="1.375" style="43" customWidth="1"/>
    <col min="5638" max="5877" width="9" style="43"/>
    <col min="5878" max="5878" width="1.375" style="43" customWidth="1"/>
    <col min="5879" max="5879" width="3.5" style="43" customWidth="1"/>
    <col min="5880" max="5880" width="22.125" style="43" customWidth="1"/>
    <col min="5881" max="5881" width="9.75" style="43" customWidth="1"/>
    <col min="5882" max="5882" width="7.375" style="43" customWidth="1"/>
    <col min="5883" max="5883" width="9" style="43"/>
    <col min="5884" max="5884" width="9.25" style="43" customWidth="1"/>
    <col min="5885" max="5885" width="3.5" style="43" customWidth="1"/>
    <col min="5886" max="5887" width="12.625" style="43" customWidth="1"/>
    <col min="5888" max="5888" width="9" style="43"/>
    <col min="5889" max="5889" width="7.75" style="43" customWidth="1"/>
    <col min="5890" max="5890" width="13.125" style="43" customWidth="1"/>
    <col min="5891" max="5891" width="6.125" style="43" customWidth="1"/>
    <col min="5892" max="5892" width="9.75" style="43" customWidth="1"/>
    <col min="5893" max="5893" width="1.375" style="43" customWidth="1"/>
    <col min="5894" max="6133" width="9" style="43"/>
    <col min="6134" max="6134" width="1.375" style="43" customWidth="1"/>
    <col min="6135" max="6135" width="3.5" style="43" customWidth="1"/>
    <col min="6136" max="6136" width="22.125" style="43" customWidth="1"/>
    <col min="6137" max="6137" width="9.75" style="43" customWidth="1"/>
    <col min="6138" max="6138" width="7.375" style="43" customWidth="1"/>
    <col min="6139" max="6139" width="9" style="43"/>
    <col min="6140" max="6140" width="9.25" style="43" customWidth="1"/>
    <col min="6141" max="6141" width="3.5" style="43" customWidth="1"/>
    <col min="6142" max="6143" width="12.625" style="43" customWidth="1"/>
    <col min="6144" max="6144" width="9" style="43"/>
    <col min="6145" max="6145" width="7.75" style="43" customWidth="1"/>
    <col min="6146" max="6146" width="13.125" style="43" customWidth="1"/>
    <col min="6147" max="6147" width="6.125" style="43" customWidth="1"/>
    <col min="6148" max="6148" width="9.75" style="43" customWidth="1"/>
    <col min="6149" max="6149" width="1.375" style="43" customWidth="1"/>
    <col min="6150" max="6389" width="9" style="43"/>
    <col min="6390" max="6390" width="1.375" style="43" customWidth="1"/>
    <col min="6391" max="6391" width="3.5" style="43" customWidth="1"/>
    <col min="6392" max="6392" width="22.125" style="43" customWidth="1"/>
    <col min="6393" max="6393" width="9.75" style="43" customWidth="1"/>
    <col min="6394" max="6394" width="7.375" style="43" customWidth="1"/>
    <col min="6395" max="6395" width="9" style="43"/>
    <col min="6396" max="6396" width="9.25" style="43" customWidth="1"/>
    <col min="6397" max="6397" width="3.5" style="43" customWidth="1"/>
    <col min="6398" max="6399" width="12.625" style="43" customWidth="1"/>
    <col min="6400" max="6400" width="9" style="43"/>
    <col min="6401" max="6401" width="7.75" style="43" customWidth="1"/>
    <col min="6402" max="6402" width="13.125" style="43" customWidth="1"/>
    <col min="6403" max="6403" width="6.125" style="43" customWidth="1"/>
    <col min="6404" max="6404" width="9.75" style="43" customWidth="1"/>
    <col min="6405" max="6405" width="1.375" style="43" customWidth="1"/>
    <col min="6406" max="6645" width="9" style="43"/>
    <col min="6646" max="6646" width="1.375" style="43" customWidth="1"/>
    <col min="6647" max="6647" width="3.5" style="43" customWidth="1"/>
    <col min="6648" max="6648" width="22.125" style="43" customWidth="1"/>
    <col min="6649" max="6649" width="9.75" style="43" customWidth="1"/>
    <col min="6650" max="6650" width="7.375" style="43" customWidth="1"/>
    <col min="6651" max="6651" width="9" style="43"/>
    <col min="6652" max="6652" width="9.25" style="43" customWidth="1"/>
    <col min="6653" max="6653" width="3.5" style="43" customWidth="1"/>
    <col min="6654" max="6655" width="12.625" style="43" customWidth="1"/>
    <col min="6656" max="6656" width="9" style="43"/>
    <col min="6657" max="6657" width="7.75" style="43" customWidth="1"/>
    <col min="6658" max="6658" width="13.125" style="43" customWidth="1"/>
    <col min="6659" max="6659" width="6.125" style="43" customWidth="1"/>
    <col min="6660" max="6660" width="9.75" style="43" customWidth="1"/>
    <col min="6661" max="6661" width="1.375" style="43" customWidth="1"/>
    <col min="6662" max="6901" width="9" style="43"/>
    <col min="6902" max="6902" width="1.375" style="43" customWidth="1"/>
    <col min="6903" max="6903" width="3.5" style="43" customWidth="1"/>
    <col min="6904" max="6904" width="22.125" style="43" customWidth="1"/>
    <col min="6905" max="6905" width="9.75" style="43" customWidth="1"/>
    <col min="6906" max="6906" width="7.375" style="43" customWidth="1"/>
    <col min="6907" max="6907" width="9" style="43"/>
    <col min="6908" max="6908" width="9.25" style="43" customWidth="1"/>
    <col min="6909" max="6909" width="3.5" style="43" customWidth="1"/>
    <col min="6910" max="6911" width="12.625" style="43" customWidth="1"/>
    <col min="6912" max="6912" width="9" style="43"/>
    <col min="6913" max="6913" width="7.75" style="43" customWidth="1"/>
    <col min="6914" max="6914" width="13.125" style="43" customWidth="1"/>
    <col min="6915" max="6915" width="6.125" style="43" customWidth="1"/>
    <col min="6916" max="6916" width="9.75" style="43" customWidth="1"/>
    <col min="6917" max="6917" width="1.375" style="43" customWidth="1"/>
    <col min="6918" max="7157" width="9" style="43"/>
    <col min="7158" max="7158" width="1.375" style="43" customWidth="1"/>
    <col min="7159" max="7159" width="3.5" style="43" customWidth="1"/>
    <col min="7160" max="7160" width="22.125" style="43" customWidth="1"/>
    <col min="7161" max="7161" width="9.75" style="43" customWidth="1"/>
    <col min="7162" max="7162" width="7.375" style="43" customWidth="1"/>
    <col min="7163" max="7163" width="9" style="43"/>
    <col min="7164" max="7164" width="9.25" style="43" customWidth="1"/>
    <col min="7165" max="7165" width="3.5" style="43" customWidth="1"/>
    <col min="7166" max="7167" width="12.625" style="43" customWidth="1"/>
    <col min="7168" max="7168" width="9" style="43"/>
    <col min="7169" max="7169" width="7.75" style="43" customWidth="1"/>
    <col min="7170" max="7170" width="13.125" style="43" customWidth="1"/>
    <col min="7171" max="7171" width="6.125" style="43" customWidth="1"/>
    <col min="7172" max="7172" width="9.75" style="43" customWidth="1"/>
    <col min="7173" max="7173" width="1.375" style="43" customWidth="1"/>
    <col min="7174" max="7413" width="9" style="43"/>
    <col min="7414" max="7414" width="1.375" style="43" customWidth="1"/>
    <col min="7415" max="7415" width="3.5" style="43" customWidth="1"/>
    <col min="7416" max="7416" width="22.125" style="43" customWidth="1"/>
    <col min="7417" max="7417" width="9.75" style="43" customWidth="1"/>
    <col min="7418" max="7418" width="7.375" style="43" customWidth="1"/>
    <col min="7419" max="7419" width="9" style="43"/>
    <col min="7420" max="7420" width="9.25" style="43" customWidth="1"/>
    <col min="7421" max="7421" width="3.5" style="43" customWidth="1"/>
    <col min="7422" max="7423" width="12.625" style="43" customWidth="1"/>
    <col min="7424" max="7424" width="9" style="43"/>
    <col min="7425" max="7425" width="7.75" style="43" customWidth="1"/>
    <col min="7426" max="7426" width="13.125" style="43" customWidth="1"/>
    <col min="7427" max="7427" width="6.125" style="43" customWidth="1"/>
    <col min="7428" max="7428" width="9.75" style="43" customWidth="1"/>
    <col min="7429" max="7429" width="1.375" style="43" customWidth="1"/>
    <col min="7430" max="7669" width="9" style="43"/>
    <col min="7670" max="7670" width="1.375" style="43" customWidth="1"/>
    <col min="7671" max="7671" width="3.5" style="43" customWidth="1"/>
    <col min="7672" max="7672" width="22.125" style="43" customWidth="1"/>
    <col min="7673" max="7673" width="9.75" style="43" customWidth="1"/>
    <col min="7674" max="7674" width="7.375" style="43" customWidth="1"/>
    <col min="7675" max="7675" width="9" style="43"/>
    <col min="7676" max="7676" width="9.25" style="43" customWidth="1"/>
    <col min="7677" max="7677" width="3.5" style="43" customWidth="1"/>
    <col min="7678" max="7679" width="12.625" style="43" customWidth="1"/>
    <col min="7680" max="7680" width="9" style="43"/>
    <col min="7681" max="7681" width="7.75" style="43" customWidth="1"/>
    <col min="7682" max="7682" width="13.125" style="43" customWidth="1"/>
    <col min="7683" max="7683" width="6.125" style="43" customWidth="1"/>
    <col min="7684" max="7684" width="9.75" style="43" customWidth="1"/>
    <col min="7685" max="7685" width="1.375" style="43" customWidth="1"/>
    <col min="7686" max="7925" width="9" style="43"/>
    <col min="7926" max="7926" width="1.375" style="43" customWidth="1"/>
    <col min="7927" max="7927" width="3.5" style="43" customWidth="1"/>
    <col min="7928" max="7928" width="22.125" style="43" customWidth="1"/>
    <col min="7929" max="7929" width="9.75" style="43" customWidth="1"/>
    <col min="7930" max="7930" width="7.375" style="43" customWidth="1"/>
    <col min="7931" max="7931" width="9" style="43"/>
    <col min="7932" max="7932" width="9.25" style="43" customWidth="1"/>
    <col min="7933" max="7933" width="3.5" style="43" customWidth="1"/>
    <col min="7934" max="7935" width="12.625" style="43" customWidth="1"/>
    <col min="7936" max="7936" width="9" style="43"/>
    <col min="7937" max="7937" width="7.75" style="43" customWidth="1"/>
    <col min="7938" max="7938" width="13.125" style="43" customWidth="1"/>
    <col min="7939" max="7939" width="6.125" style="43" customWidth="1"/>
    <col min="7940" max="7940" width="9.75" style="43" customWidth="1"/>
    <col min="7941" max="7941" width="1.375" style="43" customWidth="1"/>
    <col min="7942" max="8181" width="9" style="43"/>
    <col min="8182" max="8182" width="1.375" style="43" customWidth="1"/>
    <col min="8183" max="8183" width="3.5" style="43" customWidth="1"/>
    <col min="8184" max="8184" width="22.125" style="43" customWidth="1"/>
    <col min="8185" max="8185" width="9.75" style="43" customWidth="1"/>
    <col min="8186" max="8186" width="7.375" style="43" customWidth="1"/>
    <col min="8187" max="8187" width="9" style="43"/>
    <col min="8188" max="8188" width="9.25" style="43" customWidth="1"/>
    <col min="8189" max="8189" width="3.5" style="43" customWidth="1"/>
    <col min="8190" max="8191" width="12.625" style="43" customWidth="1"/>
    <col min="8192" max="8192" width="9" style="43"/>
    <col min="8193" max="8193" width="7.75" style="43" customWidth="1"/>
    <col min="8194" max="8194" width="13.125" style="43" customWidth="1"/>
    <col min="8195" max="8195" width="6.125" style="43" customWidth="1"/>
    <col min="8196" max="8196" width="9.75" style="43" customWidth="1"/>
    <col min="8197" max="8197" width="1.375" style="43" customWidth="1"/>
    <col min="8198" max="8437" width="9" style="43"/>
    <col min="8438" max="8438" width="1.375" style="43" customWidth="1"/>
    <col min="8439" max="8439" width="3.5" style="43" customWidth="1"/>
    <col min="8440" max="8440" width="22.125" style="43" customWidth="1"/>
    <col min="8441" max="8441" width="9.75" style="43" customWidth="1"/>
    <col min="8442" max="8442" width="7.375" style="43" customWidth="1"/>
    <col min="8443" max="8443" width="9" style="43"/>
    <col min="8444" max="8444" width="9.25" style="43" customWidth="1"/>
    <col min="8445" max="8445" width="3.5" style="43" customWidth="1"/>
    <col min="8446" max="8447" width="12.625" style="43" customWidth="1"/>
    <col min="8448" max="8448" width="9" style="43"/>
    <col min="8449" max="8449" width="7.75" style="43" customWidth="1"/>
    <col min="8450" max="8450" width="13.125" style="43" customWidth="1"/>
    <col min="8451" max="8451" width="6.125" style="43" customWidth="1"/>
    <col min="8452" max="8452" width="9.75" style="43" customWidth="1"/>
    <col min="8453" max="8453" width="1.375" style="43" customWidth="1"/>
    <col min="8454" max="8693" width="9" style="43"/>
    <col min="8694" max="8694" width="1.375" style="43" customWidth="1"/>
    <col min="8695" max="8695" width="3.5" style="43" customWidth="1"/>
    <col min="8696" max="8696" width="22.125" style="43" customWidth="1"/>
    <col min="8697" max="8697" width="9.75" style="43" customWidth="1"/>
    <col min="8698" max="8698" width="7.375" style="43" customWidth="1"/>
    <col min="8699" max="8699" width="9" style="43"/>
    <col min="8700" max="8700" width="9.25" style="43" customWidth="1"/>
    <col min="8701" max="8701" width="3.5" style="43" customWidth="1"/>
    <col min="8702" max="8703" width="12.625" style="43" customWidth="1"/>
    <col min="8704" max="8704" width="9" style="43"/>
    <col min="8705" max="8705" width="7.75" style="43" customWidth="1"/>
    <col min="8706" max="8706" width="13.125" style="43" customWidth="1"/>
    <col min="8707" max="8707" width="6.125" style="43" customWidth="1"/>
    <col min="8708" max="8708" width="9.75" style="43" customWidth="1"/>
    <col min="8709" max="8709" width="1.375" style="43" customWidth="1"/>
    <col min="8710" max="8949" width="9" style="43"/>
    <col min="8950" max="8950" width="1.375" style="43" customWidth="1"/>
    <col min="8951" max="8951" width="3.5" style="43" customWidth="1"/>
    <col min="8952" max="8952" width="22.125" style="43" customWidth="1"/>
    <col min="8953" max="8953" width="9.75" style="43" customWidth="1"/>
    <col min="8954" max="8954" width="7.375" style="43" customWidth="1"/>
    <col min="8955" max="8955" width="9" style="43"/>
    <col min="8956" max="8956" width="9.25" style="43" customWidth="1"/>
    <col min="8957" max="8957" width="3.5" style="43" customWidth="1"/>
    <col min="8958" max="8959" width="12.625" style="43" customWidth="1"/>
    <col min="8960" max="8960" width="9" style="43"/>
    <col min="8961" max="8961" width="7.75" style="43" customWidth="1"/>
    <col min="8962" max="8962" width="13.125" style="43" customWidth="1"/>
    <col min="8963" max="8963" width="6.125" style="43" customWidth="1"/>
    <col min="8964" max="8964" width="9.75" style="43" customWidth="1"/>
    <col min="8965" max="8965" width="1.375" style="43" customWidth="1"/>
    <col min="8966" max="9205" width="9" style="43"/>
    <col min="9206" max="9206" width="1.375" style="43" customWidth="1"/>
    <col min="9207" max="9207" width="3.5" style="43" customWidth="1"/>
    <col min="9208" max="9208" width="22.125" style="43" customWidth="1"/>
    <col min="9209" max="9209" width="9.75" style="43" customWidth="1"/>
    <col min="9210" max="9210" width="7.375" style="43" customWidth="1"/>
    <col min="9211" max="9211" width="9" style="43"/>
    <col min="9212" max="9212" width="9.25" style="43" customWidth="1"/>
    <col min="9213" max="9213" width="3.5" style="43" customWidth="1"/>
    <col min="9214" max="9215" width="12.625" style="43" customWidth="1"/>
    <col min="9216" max="9216" width="9" style="43"/>
    <col min="9217" max="9217" width="7.75" style="43" customWidth="1"/>
    <col min="9218" max="9218" width="13.125" style="43" customWidth="1"/>
    <col min="9219" max="9219" width="6.125" style="43" customWidth="1"/>
    <col min="9220" max="9220" width="9.75" style="43" customWidth="1"/>
    <col min="9221" max="9221" width="1.375" style="43" customWidth="1"/>
    <col min="9222" max="9461" width="9" style="43"/>
    <col min="9462" max="9462" width="1.375" style="43" customWidth="1"/>
    <col min="9463" max="9463" width="3.5" style="43" customWidth="1"/>
    <col min="9464" max="9464" width="22.125" style="43" customWidth="1"/>
    <col min="9465" max="9465" width="9.75" style="43" customWidth="1"/>
    <col min="9466" max="9466" width="7.375" style="43" customWidth="1"/>
    <col min="9467" max="9467" width="9" style="43"/>
    <col min="9468" max="9468" width="9.25" style="43" customWidth="1"/>
    <col min="9469" max="9469" width="3.5" style="43" customWidth="1"/>
    <col min="9470" max="9471" width="12.625" style="43" customWidth="1"/>
    <col min="9472" max="9472" width="9" style="43"/>
    <col min="9473" max="9473" width="7.75" style="43" customWidth="1"/>
    <col min="9474" max="9474" width="13.125" style="43" customWidth="1"/>
    <col min="9475" max="9475" width="6.125" style="43" customWidth="1"/>
    <col min="9476" max="9476" width="9.75" style="43" customWidth="1"/>
    <col min="9477" max="9477" width="1.375" style="43" customWidth="1"/>
    <col min="9478" max="9717" width="9" style="43"/>
    <col min="9718" max="9718" width="1.375" style="43" customWidth="1"/>
    <col min="9719" max="9719" width="3.5" style="43" customWidth="1"/>
    <col min="9720" max="9720" width="22.125" style="43" customWidth="1"/>
    <col min="9721" max="9721" width="9.75" style="43" customWidth="1"/>
    <col min="9722" max="9722" width="7.375" style="43" customWidth="1"/>
    <col min="9723" max="9723" width="9" style="43"/>
    <col min="9724" max="9724" width="9.25" style="43" customWidth="1"/>
    <col min="9725" max="9725" width="3.5" style="43" customWidth="1"/>
    <col min="9726" max="9727" width="12.625" style="43" customWidth="1"/>
    <col min="9728" max="9728" width="9" style="43"/>
    <col min="9729" max="9729" width="7.75" style="43" customWidth="1"/>
    <col min="9730" max="9730" width="13.125" style="43" customWidth="1"/>
    <col min="9731" max="9731" width="6.125" style="43" customWidth="1"/>
    <col min="9732" max="9732" width="9.75" style="43" customWidth="1"/>
    <col min="9733" max="9733" width="1.375" style="43" customWidth="1"/>
    <col min="9734" max="9973" width="9" style="43"/>
    <col min="9974" max="9974" width="1.375" style="43" customWidth="1"/>
    <col min="9975" max="9975" width="3.5" style="43" customWidth="1"/>
    <col min="9976" max="9976" width="22.125" style="43" customWidth="1"/>
    <col min="9977" max="9977" width="9.75" style="43" customWidth="1"/>
    <col min="9978" max="9978" width="7.375" style="43" customWidth="1"/>
    <col min="9979" max="9979" width="9" style="43"/>
    <col min="9980" max="9980" width="9.25" style="43" customWidth="1"/>
    <col min="9981" max="9981" width="3.5" style="43" customWidth="1"/>
    <col min="9982" max="9983" width="12.625" style="43" customWidth="1"/>
    <col min="9984" max="9984" width="9" style="43"/>
    <col min="9985" max="9985" width="7.75" style="43" customWidth="1"/>
    <col min="9986" max="9986" width="13.125" style="43" customWidth="1"/>
    <col min="9987" max="9987" width="6.125" style="43" customWidth="1"/>
    <col min="9988" max="9988" width="9.75" style="43" customWidth="1"/>
    <col min="9989" max="9989" width="1.375" style="43" customWidth="1"/>
    <col min="9990" max="10229" width="9" style="43"/>
    <col min="10230" max="10230" width="1.375" style="43" customWidth="1"/>
    <col min="10231" max="10231" width="3.5" style="43" customWidth="1"/>
    <col min="10232" max="10232" width="22.125" style="43" customWidth="1"/>
    <col min="10233" max="10233" width="9.75" style="43" customWidth="1"/>
    <col min="10234" max="10234" width="7.375" style="43" customWidth="1"/>
    <col min="10235" max="10235" width="9" style="43"/>
    <col min="10236" max="10236" width="9.25" style="43" customWidth="1"/>
    <col min="10237" max="10237" width="3.5" style="43" customWidth="1"/>
    <col min="10238" max="10239" width="12.625" style="43" customWidth="1"/>
    <col min="10240" max="10240" width="9" style="43"/>
    <col min="10241" max="10241" width="7.75" style="43" customWidth="1"/>
    <col min="10242" max="10242" width="13.125" style="43" customWidth="1"/>
    <col min="10243" max="10243" width="6.125" style="43" customWidth="1"/>
    <col min="10244" max="10244" width="9.75" style="43" customWidth="1"/>
    <col min="10245" max="10245" width="1.375" style="43" customWidth="1"/>
    <col min="10246" max="10485" width="9" style="43"/>
    <col min="10486" max="10486" width="1.375" style="43" customWidth="1"/>
    <col min="10487" max="10487" width="3.5" style="43" customWidth="1"/>
    <col min="10488" max="10488" width="22.125" style="43" customWidth="1"/>
    <col min="10489" max="10489" width="9.75" style="43" customWidth="1"/>
    <col min="10490" max="10490" width="7.375" style="43" customWidth="1"/>
    <col min="10491" max="10491" width="9" style="43"/>
    <col min="10492" max="10492" width="9.25" style="43" customWidth="1"/>
    <col min="10493" max="10493" width="3.5" style="43" customWidth="1"/>
    <col min="10494" max="10495" width="12.625" style="43" customWidth="1"/>
    <col min="10496" max="10496" width="9" style="43"/>
    <col min="10497" max="10497" width="7.75" style="43" customWidth="1"/>
    <col min="10498" max="10498" width="13.125" style="43" customWidth="1"/>
    <col min="10499" max="10499" width="6.125" style="43" customWidth="1"/>
    <col min="10500" max="10500" width="9.75" style="43" customWidth="1"/>
    <col min="10501" max="10501" width="1.375" style="43" customWidth="1"/>
    <col min="10502" max="10741" width="9" style="43"/>
    <col min="10742" max="10742" width="1.375" style="43" customWidth="1"/>
    <col min="10743" max="10743" width="3.5" style="43" customWidth="1"/>
    <col min="10744" max="10744" width="22.125" style="43" customWidth="1"/>
    <col min="10745" max="10745" width="9.75" style="43" customWidth="1"/>
    <col min="10746" max="10746" width="7.375" style="43" customWidth="1"/>
    <col min="10747" max="10747" width="9" style="43"/>
    <col min="10748" max="10748" width="9.25" style="43" customWidth="1"/>
    <col min="10749" max="10749" width="3.5" style="43" customWidth="1"/>
    <col min="10750" max="10751" width="12.625" style="43" customWidth="1"/>
    <col min="10752" max="10752" width="9" style="43"/>
    <col min="10753" max="10753" width="7.75" style="43" customWidth="1"/>
    <col min="10754" max="10754" width="13.125" style="43" customWidth="1"/>
    <col min="10755" max="10755" width="6.125" style="43" customWidth="1"/>
    <col min="10756" max="10756" width="9.75" style="43" customWidth="1"/>
    <col min="10757" max="10757" width="1.375" style="43" customWidth="1"/>
    <col min="10758" max="10997" width="9" style="43"/>
    <col min="10998" max="10998" width="1.375" style="43" customWidth="1"/>
    <col min="10999" max="10999" width="3.5" style="43" customWidth="1"/>
    <col min="11000" max="11000" width="22.125" style="43" customWidth="1"/>
    <col min="11001" max="11001" width="9.75" style="43" customWidth="1"/>
    <col min="11002" max="11002" width="7.375" style="43" customWidth="1"/>
    <col min="11003" max="11003" width="9" style="43"/>
    <col min="11004" max="11004" width="9.25" style="43" customWidth="1"/>
    <col min="11005" max="11005" width="3.5" style="43" customWidth="1"/>
    <col min="11006" max="11007" width="12.625" style="43" customWidth="1"/>
    <col min="11008" max="11008" width="9" style="43"/>
    <col min="11009" max="11009" width="7.75" style="43" customWidth="1"/>
    <col min="11010" max="11010" width="13.125" style="43" customWidth="1"/>
    <col min="11011" max="11011" width="6.125" style="43" customWidth="1"/>
    <col min="11012" max="11012" width="9.75" style="43" customWidth="1"/>
    <col min="11013" max="11013" width="1.375" style="43" customWidth="1"/>
    <col min="11014" max="11253" width="9" style="43"/>
    <col min="11254" max="11254" width="1.375" style="43" customWidth="1"/>
    <col min="11255" max="11255" width="3.5" style="43" customWidth="1"/>
    <col min="11256" max="11256" width="22.125" style="43" customWidth="1"/>
    <col min="11257" max="11257" width="9.75" style="43" customWidth="1"/>
    <col min="11258" max="11258" width="7.375" style="43" customWidth="1"/>
    <col min="11259" max="11259" width="9" style="43"/>
    <col min="11260" max="11260" width="9.25" style="43" customWidth="1"/>
    <col min="11261" max="11261" width="3.5" style="43" customWidth="1"/>
    <col min="11262" max="11263" width="12.625" style="43" customWidth="1"/>
    <col min="11264" max="11264" width="9" style="43"/>
    <col min="11265" max="11265" width="7.75" style="43" customWidth="1"/>
    <col min="11266" max="11266" width="13.125" style="43" customWidth="1"/>
    <col min="11267" max="11267" width="6.125" style="43" customWidth="1"/>
    <col min="11268" max="11268" width="9.75" style="43" customWidth="1"/>
    <col min="11269" max="11269" width="1.375" style="43" customWidth="1"/>
    <col min="11270" max="11509" width="9" style="43"/>
    <col min="11510" max="11510" width="1.375" style="43" customWidth="1"/>
    <col min="11511" max="11511" width="3.5" style="43" customWidth="1"/>
    <col min="11512" max="11512" width="22.125" style="43" customWidth="1"/>
    <col min="11513" max="11513" width="9.75" style="43" customWidth="1"/>
    <col min="11514" max="11514" width="7.375" style="43" customWidth="1"/>
    <col min="11515" max="11515" width="9" style="43"/>
    <col min="11516" max="11516" width="9.25" style="43" customWidth="1"/>
    <col min="11517" max="11517" width="3.5" style="43" customWidth="1"/>
    <col min="11518" max="11519" width="12.625" style="43" customWidth="1"/>
    <col min="11520" max="11520" width="9" style="43"/>
    <col min="11521" max="11521" width="7.75" style="43" customWidth="1"/>
    <col min="11522" max="11522" width="13.125" style="43" customWidth="1"/>
    <col min="11523" max="11523" width="6.125" style="43" customWidth="1"/>
    <col min="11524" max="11524" width="9.75" style="43" customWidth="1"/>
    <col min="11525" max="11525" width="1.375" style="43" customWidth="1"/>
    <col min="11526" max="11765" width="9" style="43"/>
    <col min="11766" max="11766" width="1.375" style="43" customWidth="1"/>
    <col min="11767" max="11767" width="3.5" style="43" customWidth="1"/>
    <col min="11768" max="11768" width="22.125" style="43" customWidth="1"/>
    <col min="11769" max="11769" width="9.75" style="43" customWidth="1"/>
    <col min="11770" max="11770" width="7.375" style="43" customWidth="1"/>
    <col min="11771" max="11771" width="9" style="43"/>
    <col min="11772" max="11772" width="9.25" style="43" customWidth="1"/>
    <col min="11773" max="11773" width="3.5" style="43" customWidth="1"/>
    <col min="11774" max="11775" width="12.625" style="43" customWidth="1"/>
    <col min="11776" max="11776" width="9" style="43"/>
    <col min="11777" max="11777" width="7.75" style="43" customWidth="1"/>
    <col min="11778" max="11778" width="13.125" style="43" customWidth="1"/>
    <col min="11779" max="11779" width="6.125" style="43" customWidth="1"/>
    <col min="11780" max="11780" width="9.75" style="43" customWidth="1"/>
    <col min="11781" max="11781" width="1.375" style="43" customWidth="1"/>
    <col min="11782" max="12021" width="9" style="43"/>
    <col min="12022" max="12022" width="1.375" style="43" customWidth="1"/>
    <col min="12023" max="12023" width="3.5" style="43" customWidth="1"/>
    <col min="12024" max="12024" width="22.125" style="43" customWidth="1"/>
    <col min="12025" max="12025" width="9.75" style="43" customWidth="1"/>
    <col min="12026" max="12026" width="7.375" style="43" customWidth="1"/>
    <col min="12027" max="12027" width="9" style="43"/>
    <col min="12028" max="12028" width="9.25" style="43" customWidth="1"/>
    <col min="12029" max="12029" width="3.5" style="43" customWidth="1"/>
    <col min="12030" max="12031" width="12.625" style="43" customWidth="1"/>
    <col min="12032" max="12032" width="9" style="43"/>
    <col min="12033" max="12033" width="7.75" style="43" customWidth="1"/>
    <col min="12034" max="12034" width="13.125" style="43" customWidth="1"/>
    <col min="12035" max="12035" width="6.125" style="43" customWidth="1"/>
    <col min="12036" max="12036" width="9.75" style="43" customWidth="1"/>
    <col min="12037" max="12037" width="1.375" style="43" customWidth="1"/>
    <col min="12038" max="12277" width="9" style="43"/>
    <col min="12278" max="12278" width="1.375" style="43" customWidth="1"/>
    <col min="12279" max="12279" width="3.5" style="43" customWidth="1"/>
    <col min="12280" max="12280" width="22.125" style="43" customWidth="1"/>
    <col min="12281" max="12281" width="9.75" style="43" customWidth="1"/>
    <col min="12282" max="12282" width="7.375" style="43" customWidth="1"/>
    <col min="12283" max="12283" width="9" style="43"/>
    <col min="12284" max="12284" width="9.25" style="43" customWidth="1"/>
    <col min="12285" max="12285" width="3.5" style="43" customWidth="1"/>
    <col min="12286" max="12287" width="12.625" style="43" customWidth="1"/>
    <col min="12288" max="12288" width="9" style="43"/>
    <col min="12289" max="12289" width="7.75" style="43" customWidth="1"/>
    <col min="12290" max="12290" width="13.125" style="43" customWidth="1"/>
    <col min="12291" max="12291" width="6.125" style="43" customWidth="1"/>
    <col min="12292" max="12292" width="9.75" style="43" customWidth="1"/>
    <col min="12293" max="12293" width="1.375" style="43" customWidth="1"/>
    <col min="12294" max="12533" width="9" style="43"/>
    <col min="12534" max="12534" width="1.375" style="43" customWidth="1"/>
    <col min="12535" max="12535" width="3.5" style="43" customWidth="1"/>
    <col min="12536" max="12536" width="22.125" style="43" customWidth="1"/>
    <col min="12537" max="12537" width="9.75" style="43" customWidth="1"/>
    <col min="12538" max="12538" width="7.375" style="43" customWidth="1"/>
    <col min="12539" max="12539" width="9" style="43"/>
    <col min="12540" max="12540" width="9.25" style="43" customWidth="1"/>
    <col min="12541" max="12541" width="3.5" style="43" customWidth="1"/>
    <col min="12542" max="12543" width="12.625" style="43" customWidth="1"/>
    <col min="12544" max="12544" width="9" style="43"/>
    <col min="12545" max="12545" width="7.75" style="43" customWidth="1"/>
    <col min="12546" max="12546" width="13.125" style="43" customWidth="1"/>
    <col min="12547" max="12547" width="6.125" style="43" customWidth="1"/>
    <col min="12548" max="12548" width="9.75" style="43" customWidth="1"/>
    <col min="12549" max="12549" width="1.375" style="43" customWidth="1"/>
    <col min="12550" max="12789" width="9" style="43"/>
    <col min="12790" max="12790" width="1.375" style="43" customWidth="1"/>
    <col min="12791" max="12791" width="3.5" style="43" customWidth="1"/>
    <col min="12792" max="12792" width="22.125" style="43" customWidth="1"/>
    <col min="12793" max="12793" width="9.75" style="43" customWidth="1"/>
    <col min="12794" max="12794" width="7.375" style="43" customWidth="1"/>
    <col min="12795" max="12795" width="9" style="43"/>
    <col min="12796" max="12796" width="9.25" style="43" customWidth="1"/>
    <col min="12797" max="12797" width="3.5" style="43" customWidth="1"/>
    <col min="12798" max="12799" width="12.625" style="43" customWidth="1"/>
    <col min="12800" max="12800" width="9" style="43"/>
    <col min="12801" max="12801" width="7.75" style="43" customWidth="1"/>
    <col min="12802" max="12802" width="13.125" style="43" customWidth="1"/>
    <col min="12803" max="12803" width="6.125" style="43" customWidth="1"/>
    <col min="12804" max="12804" width="9.75" style="43" customWidth="1"/>
    <col min="12805" max="12805" width="1.375" style="43" customWidth="1"/>
    <col min="12806" max="13045" width="9" style="43"/>
    <col min="13046" max="13046" width="1.375" style="43" customWidth="1"/>
    <col min="13047" max="13047" width="3.5" style="43" customWidth="1"/>
    <col min="13048" max="13048" width="22.125" style="43" customWidth="1"/>
    <col min="13049" max="13049" width="9.75" style="43" customWidth="1"/>
    <col min="13050" max="13050" width="7.375" style="43" customWidth="1"/>
    <col min="13051" max="13051" width="9" style="43"/>
    <col min="13052" max="13052" width="9.25" style="43" customWidth="1"/>
    <col min="13053" max="13053" width="3.5" style="43" customWidth="1"/>
    <col min="13054" max="13055" width="12.625" style="43" customWidth="1"/>
    <col min="13056" max="13056" width="9" style="43"/>
    <col min="13057" max="13057" width="7.75" style="43" customWidth="1"/>
    <col min="13058" max="13058" width="13.125" style="43" customWidth="1"/>
    <col min="13059" max="13059" width="6.125" style="43" customWidth="1"/>
    <col min="13060" max="13060" width="9.75" style="43" customWidth="1"/>
    <col min="13061" max="13061" width="1.375" style="43" customWidth="1"/>
    <col min="13062" max="13301" width="9" style="43"/>
    <col min="13302" max="13302" width="1.375" style="43" customWidth="1"/>
    <col min="13303" max="13303" width="3.5" style="43" customWidth="1"/>
    <col min="13304" max="13304" width="22.125" style="43" customWidth="1"/>
    <col min="13305" max="13305" width="9.75" style="43" customWidth="1"/>
    <col min="13306" max="13306" width="7.375" style="43" customWidth="1"/>
    <col min="13307" max="13307" width="9" style="43"/>
    <col min="13308" max="13308" width="9.25" style="43" customWidth="1"/>
    <col min="13309" max="13309" width="3.5" style="43" customWidth="1"/>
    <col min="13310" max="13311" width="12.625" style="43" customWidth="1"/>
    <col min="13312" max="13312" width="9" style="43"/>
    <col min="13313" max="13313" width="7.75" style="43" customWidth="1"/>
    <col min="13314" max="13314" width="13.125" style="43" customWidth="1"/>
    <col min="13315" max="13315" width="6.125" style="43" customWidth="1"/>
    <col min="13316" max="13316" width="9.75" style="43" customWidth="1"/>
    <col min="13317" max="13317" width="1.375" style="43" customWidth="1"/>
    <col min="13318" max="13557" width="9" style="43"/>
    <col min="13558" max="13558" width="1.375" style="43" customWidth="1"/>
    <col min="13559" max="13559" width="3.5" style="43" customWidth="1"/>
    <col min="13560" max="13560" width="22.125" style="43" customWidth="1"/>
    <col min="13561" max="13561" width="9.75" style="43" customWidth="1"/>
    <col min="13562" max="13562" width="7.375" style="43" customWidth="1"/>
    <col min="13563" max="13563" width="9" style="43"/>
    <col min="13564" max="13564" width="9.25" style="43" customWidth="1"/>
    <col min="13565" max="13565" width="3.5" style="43" customWidth="1"/>
    <col min="13566" max="13567" width="12.625" style="43" customWidth="1"/>
    <col min="13568" max="13568" width="9" style="43"/>
    <col min="13569" max="13569" width="7.75" style="43" customWidth="1"/>
    <col min="13570" max="13570" width="13.125" style="43" customWidth="1"/>
    <col min="13571" max="13571" width="6.125" style="43" customWidth="1"/>
    <col min="13572" max="13572" width="9.75" style="43" customWidth="1"/>
    <col min="13573" max="13573" width="1.375" style="43" customWidth="1"/>
    <col min="13574" max="13813" width="9" style="43"/>
    <col min="13814" max="13814" width="1.375" style="43" customWidth="1"/>
    <col min="13815" max="13815" width="3.5" style="43" customWidth="1"/>
    <col min="13816" max="13816" width="22.125" style="43" customWidth="1"/>
    <col min="13817" max="13817" width="9.75" style="43" customWidth="1"/>
    <col min="13818" max="13818" width="7.375" style="43" customWidth="1"/>
    <col min="13819" max="13819" width="9" style="43"/>
    <col min="13820" max="13820" width="9.25" style="43" customWidth="1"/>
    <col min="13821" max="13821" width="3.5" style="43" customWidth="1"/>
    <col min="13822" max="13823" width="12.625" style="43" customWidth="1"/>
    <col min="13824" max="13824" width="9" style="43"/>
    <col min="13825" max="13825" width="7.75" style="43" customWidth="1"/>
    <col min="13826" max="13826" width="13.125" style="43" customWidth="1"/>
    <col min="13827" max="13827" width="6.125" style="43" customWidth="1"/>
    <col min="13828" max="13828" width="9.75" style="43" customWidth="1"/>
    <col min="13829" max="13829" width="1.375" style="43" customWidth="1"/>
    <col min="13830" max="14069" width="9" style="43"/>
    <col min="14070" max="14070" width="1.375" style="43" customWidth="1"/>
    <col min="14071" max="14071" width="3.5" style="43" customWidth="1"/>
    <col min="14072" max="14072" width="22.125" style="43" customWidth="1"/>
    <col min="14073" max="14073" width="9.75" style="43" customWidth="1"/>
    <col min="14074" max="14074" width="7.375" style="43" customWidth="1"/>
    <col min="14075" max="14075" width="9" style="43"/>
    <col min="14076" max="14076" width="9.25" style="43" customWidth="1"/>
    <col min="14077" max="14077" width="3.5" style="43" customWidth="1"/>
    <col min="14078" max="14079" width="12.625" style="43" customWidth="1"/>
    <col min="14080" max="14080" width="9" style="43"/>
    <col min="14081" max="14081" width="7.75" style="43" customWidth="1"/>
    <col min="14082" max="14082" width="13.125" style="43" customWidth="1"/>
    <col min="14083" max="14083" width="6.125" style="43" customWidth="1"/>
    <col min="14084" max="14084" width="9.75" style="43" customWidth="1"/>
    <col min="14085" max="14085" width="1.375" style="43" customWidth="1"/>
    <col min="14086" max="14325" width="9" style="43"/>
    <col min="14326" max="14326" width="1.375" style="43" customWidth="1"/>
    <col min="14327" max="14327" width="3.5" style="43" customWidth="1"/>
    <col min="14328" max="14328" width="22.125" style="43" customWidth="1"/>
    <col min="14329" max="14329" width="9.75" style="43" customWidth="1"/>
    <col min="14330" max="14330" width="7.375" style="43" customWidth="1"/>
    <col min="14331" max="14331" width="9" style="43"/>
    <col min="14332" max="14332" width="9.25" style="43" customWidth="1"/>
    <col min="14333" max="14333" width="3.5" style="43" customWidth="1"/>
    <col min="14334" max="14335" width="12.625" style="43" customWidth="1"/>
    <col min="14336" max="14336" width="9" style="43"/>
    <col min="14337" max="14337" width="7.75" style="43" customWidth="1"/>
    <col min="14338" max="14338" width="13.125" style="43" customWidth="1"/>
    <col min="14339" max="14339" width="6.125" style="43" customWidth="1"/>
    <col min="14340" max="14340" width="9.75" style="43" customWidth="1"/>
    <col min="14341" max="14341" width="1.375" style="43" customWidth="1"/>
    <col min="14342" max="14581" width="9" style="43"/>
    <col min="14582" max="14582" width="1.375" style="43" customWidth="1"/>
    <col min="14583" max="14583" width="3.5" style="43" customWidth="1"/>
    <col min="14584" max="14584" width="22.125" style="43" customWidth="1"/>
    <col min="14585" max="14585" width="9.75" style="43" customWidth="1"/>
    <col min="14586" max="14586" width="7.375" style="43" customWidth="1"/>
    <col min="14587" max="14587" width="9" style="43"/>
    <col min="14588" max="14588" width="9.25" style="43" customWidth="1"/>
    <col min="14589" max="14589" width="3.5" style="43" customWidth="1"/>
    <col min="14590" max="14591" width="12.625" style="43" customWidth="1"/>
    <col min="14592" max="14592" width="9" style="43"/>
    <col min="14593" max="14593" width="7.75" style="43" customWidth="1"/>
    <col min="14594" max="14594" width="13.125" style="43" customWidth="1"/>
    <col min="14595" max="14595" width="6.125" style="43" customWidth="1"/>
    <col min="14596" max="14596" width="9.75" style="43" customWidth="1"/>
    <col min="14597" max="14597" width="1.375" style="43" customWidth="1"/>
    <col min="14598" max="14837" width="9" style="43"/>
    <col min="14838" max="14838" width="1.375" style="43" customWidth="1"/>
    <col min="14839" max="14839" width="3.5" style="43" customWidth="1"/>
    <col min="14840" max="14840" width="22.125" style="43" customWidth="1"/>
    <col min="14841" max="14841" width="9.75" style="43" customWidth="1"/>
    <col min="14842" max="14842" width="7.375" style="43" customWidth="1"/>
    <col min="14843" max="14843" width="9" style="43"/>
    <col min="14844" max="14844" width="9.25" style="43" customWidth="1"/>
    <col min="14845" max="14845" width="3.5" style="43" customWidth="1"/>
    <col min="14846" max="14847" width="12.625" style="43" customWidth="1"/>
    <col min="14848" max="14848" width="9" style="43"/>
    <col min="14849" max="14849" width="7.75" style="43" customWidth="1"/>
    <col min="14850" max="14850" width="13.125" style="43" customWidth="1"/>
    <col min="14851" max="14851" width="6.125" style="43" customWidth="1"/>
    <col min="14852" max="14852" width="9.75" style="43" customWidth="1"/>
    <col min="14853" max="14853" width="1.375" style="43" customWidth="1"/>
    <col min="14854" max="15093" width="9" style="43"/>
    <col min="15094" max="15094" width="1.375" style="43" customWidth="1"/>
    <col min="15095" max="15095" width="3.5" style="43" customWidth="1"/>
    <col min="15096" max="15096" width="22.125" style="43" customWidth="1"/>
    <col min="15097" max="15097" width="9.75" style="43" customWidth="1"/>
    <col min="15098" max="15098" width="7.375" style="43" customWidth="1"/>
    <col min="15099" max="15099" width="9" style="43"/>
    <col min="15100" max="15100" width="9.25" style="43" customWidth="1"/>
    <col min="15101" max="15101" width="3.5" style="43" customWidth="1"/>
    <col min="15102" max="15103" width="12.625" style="43" customWidth="1"/>
    <col min="15104" max="15104" width="9" style="43"/>
    <col min="15105" max="15105" width="7.75" style="43" customWidth="1"/>
    <col min="15106" max="15106" width="13.125" style="43" customWidth="1"/>
    <col min="15107" max="15107" width="6.125" style="43" customWidth="1"/>
    <col min="15108" max="15108" width="9.75" style="43" customWidth="1"/>
    <col min="15109" max="15109" width="1.375" style="43" customWidth="1"/>
    <col min="15110" max="15349" width="9" style="43"/>
    <col min="15350" max="15350" width="1.375" style="43" customWidth="1"/>
    <col min="15351" max="15351" width="3.5" style="43" customWidth="1"/>
    <col min="15352" max="15352" width="22.125" style="43" customWidth="1"/>
    <col min="15353" max="15353" width="9.75" style="43" customWidth="1"/>
    <col min="15354" max="15354" width="7.375" style="43" customWidth="1"/>
    <col min="15355" max="15355" width="9" style="43"/>
    <col min="15356" max="15356" width="9.25" style="43" customWidth="1"/>
    <col min="15357" max="15357" width="3.5" style="43" customWidth="1"/>
    <col min="15358" max="15359" width="12.625" style="43" customWidth="1"/>
    <col min="15360" max="15360" width="9" style="43"/>
    <col min="15361" max="15361" width="7.75" style="43" customWidth="1"/>
    <col min="15362" max="15362" width="13.125" style="43" customWidth="1"/>
    <col min="15363" max="15363" width="6.125" style="43" customWidth="1"/>
    <col min="15364" max="15364" width="9.75" style="43" customWidth="1"/>
    <col min="15365" max="15365" width="1.375" style="43" customWidth="1"/>
    <col min="15366" max="15605" width="9" style="43"/>
    <col min="15606" max="15606" width="1.375" style="43" customWidth="1"/>
    <col min="15607" max="15607" width="3.5" style="43" customWidth="1"/>
    <col min="15608" max="15608" width="22.125" style="43" customWidth="1"/>
    <col min="15609" max="15609" width="9.75" style="43" customWidth="1"/>
    <col min="15610" max="15610" width="7.375" style="43" customWidth="1"/>
    <col min="15611" max="15611" width="9" style="43"/>
    <col min="15612" max="15612" width="9.25" style="43" customWidth="1"/>
    <col min="15613" max="15613" width="3.5" style="43" customWidth="1"/>
    <col min="15614" max="15615" width="12.625" style="43" customWidth="1"/>
    <col min="15616" max="15616" width="9" style="43"/>
    <col min="15617" max="15617" width="7.75" style="43" customWidth="1"/>
    <col min="15618" max="15618" width="13.125" style="43" customWidth="1"/>
    <col min="15619" max="15619" width="6.125" style="43" customWidth="1"/>
    <col min="15620" max="15620" width="9.75" style="43" customWidth="1"/>
    <col min="15621" max="15621" width="1.375" style="43" customWidth="1"/>
    <col min="15622" max="15861" width="9" style="43"/>
    <col min="15862" max="15862" width="1.375" style="43" customWidth="1"/>
    <col min="15863" max="15863" width="3.5" style="43" customWidth="1"/>
    <col min="15864" max="15864" width="22.125" style="43" customWidth="1"/>
    <col min="15865" max="15865" width="9.75" style="43" customWidth="1"/>
    <col min="15866" max="15866" width="7.375" style="43" customWidth="1"/>
    <col min="15867" max="15867" width="9" style="43"/>
    <col min="15868" max="15868" width="9.25" style="43" customWidth="1"/>
    <col min="15869" max="15869" width="3.5" style="43" customWidth="1"/>
    <col min="15870" max="15871" width="12.625" style="43" customWidth="1"/>
    <col min="15872" max="15872" width="9" style="43"/>
    <col min="15873" max="15873" width="7.75" style="43" customWidth="1"/>
    <col min="15874" max="15874" width="13.125" style="43" customWidth="1"/>
    <col min="15875" max="15875" width="6.125" style="43" customWidth="1"/>
    <col min="15876" max="15876" width="9.75" style="43" customWidth="1"/>
    <col min="15877" max="15877" width="1.375" style="43" customWidth="1"/>
    <col min="15878" max="16117" width="9" style="43"/>
    <col min="16118" max="16118" width="1.375" style="43" customWidth="1"/>
    <col min="16119" max="16119" width="3.5" style="43" customWidth="1"/>
    <col min="16120" max="16120" width="22.125" style="43" customWidth="1"/>
    <col min="16121" max="16121" width="9.75" style="43" customWidth="1"/>
    <col min="16122" max="16122" width="7.375" style="43" customWidth="1"/>
    <col min="16123" max="16123" width="9" style="43"/>
    <col min="16124" max="16124" width="9.25" style="43" customWidth="1"/>
    <col min="16125" max="16125" width="3.5" style="43" customWidth="1"/>
    <col min="16126" max="16127" width="12.625" style="43" customWidth="1"/>
    <col min="16128" max="16128" width="9" style="43"/>
    <col min="16129" max="16129" width="7.75" style="43" customWidth="1"/>
    <col min="16130" max="16130" width="13.125" style="43" customWidth="1"/>
    <col min="16131" max="16131" width="6.125" style="43" customWidth="1"/>
    <col min="16132" max="16132" width="9.75" style="43" customWidth="1"/>
    <col min="16133" max="16133" width="1.375" style="43" customWidth="1"/>
    <col min="16134" max="16384" width="9" style="43"/>
  </cols>
  <sheetData>
    <row r="1" spans="2:22" ht="9.9499999999999993" customHeight="1" x14ac:dyDescent="0.15"/>
    <row r="2" spans="2:22" ht="24.95" customHeight="1" x14ac:dyDescent="0.15">
      <c r="B2" s="43" t="s">
        <v>290</v>
      </c>
      <c r="C2" s="45"/>
      <c r="D2" s="4"/>
      <c r="E2" s="4"/>
      <c r="F2" s="45"/>
      <c r="G2" s="100"/>
      <c r="H2" s="110"/>
      <c r="I2" s="100"/>
      <c r="J2" s="100"/>
      <c r="K2" s="100"/>
      <c r="L2" s="100"/>
      <c r="M2" s="100"/>
      <c r="N2" s="100"/>
      <c r="O2" s="4"/>
    </row>
    <row r="3" spans="2:22" ht="15" customHeight="1" thickBot="1" x14ac:dyDescent="0.2">
      <c r="B3" s="43" t="s">
        <v>205</v>
      </c>
      <c r="I3" s="4" t="s">
        <v>206</v>
      </c>
      <c r="P3" s="154" t="s">
        <v>227</v>
      </c>
    </row>
    <row r="4" spans="2:22" ht="15" customHeight="1" x14ac:dyDescent="0.15">
      <c r="B4" s="285" t="s">
        <v>91</v>
      </c>
      <c r="C4" s="286" t="s">
        <v>167</v>
      </c>
      <c r="D4" s="286" t="s">
        <v>146</v>
      </c>
      <c r="E4" s="286" t="s">
        <v>147</v>
      </c>
      <c r="F4" s="286" t="s">
        <v>24</v>
      </c>
      <c r="G4" s="268" t="s">
        <v>148</v>
      </c>
      <c r="H4" s="145"/>
      <c r="I4" s="1191" t="s">
        <v>91</v>
      </c>
      <c r="J4" s="1252" t="s">
        <v>171</v>
      </c>
      <c r="K4" s="287" t="s">
        <v>168</v>
      </c>
      <c r="L4" s="287" t="s">
        <v>149</v>
      </c>
      <c r="M4" s="1252" t="s">
        <v>24</v>
      </c>
      <c r="N4" s="1254" t="s">
        <v>148</v>
      </c>
      <c r="O4" s="163"/>
      <c r="P4" s="288" t="s">
        <v>174</v>
      </c>
      <c r="Q4" s="289" t="s">
        <v>175</v>
      </c>
      <c r="R4" s="289" t="s">
        <v>176</v>
      </c>
      <c r="S4" s="289" t="s">
        <v>267</v>
      </c>
      <c r="T4" s="1193" t="s">
        <v>177</v>
      </c>
      <c r="U4" s="1075"/>
      <c r="V4" s="290" t="s">
        <v>178</v>
      </c>
    </row>
    <row r="5" spans="2:22" ht="15" customHeight="1" x14ac:dyDescent="0.15">
      <c r="B5" s="1025" t="s">
        <v>162</v>
      </c>
      <c r="C5" s="264" t="s">
        <v>790</v>
      </c>
      <c r="D5" s="264">
        <v>40</v>
      </c>
      <c r="E5" s="265" t="s">
        <v>268</v>
      </c>
      <c r="F5" s="264">
        <v>5000</v>
      </c>
      <c r="G5" s="134">
        <f t="shared" ref="G5:G6" si="0">D5*F5</f>
        <v>200000</v>
      </c>
      <c r="H5" s="146"/>
      <c r="I5" s="1251"/>
      <c r="J5" s="1253"/>
      <c r="K5" s="284" t="s">
        <v>150</v>
      </c>
      <c r="L5" s="284" t="s">
        <v>258</v>
      </c>
      <c r="M5" s="1253"/>
      <c r="N5" s="1255"/>
      <c r="O5" s="163"/>
      <c r="P5" s="235" t="s">
        <v>269</v>
      </c>
      <c r="Q5" s="133">
        <v>50</v>
      </c>
      <c r="R5" s="276" t="s">
        <v>179</v>
      </c>
      <c r="S5" s="133">
        <v>2100</v>
      </c>
      <c r="T5" s="1169">
        <v>3</v>
      </c>
      <c r="U5" s="1170"/>
      <c r="V5" s="156">
        <f>Q5*S5/T5</f>
        <v>35000</v>
      </c>
    </row>
    <row r="6" spans="2:22" ht="15" customHeight="1" x14ac:dyDescent="0.15">
      <c r="B6" s="985"/>
      <c r="C6" s="264"/>
      <c r="D6" s="264"/>
      <c r="E6" s="265"/>
      <c r="F6" s="264"/>
      <c r="G6" s="135">
        <f t="shared" si="0"/>
        <v>0</v>
      </c>
      <c r="H6" s="146"/>
      <c r="I6" s="1250" t="s">
        <v>170</v>
      </c>
      <c r="J6" s="264" t="s">
        <v>374</v>
      </c>
      <c r="K6" s="283">
        <v>40</v>
      </c>
      <c r="L6" s="283">
        <v>2.5</v>
      </c>
      <c r="M6" s="671">
        <v>84.7</v>
      </c>
      <c r="N6" s="672">
        <f>K6*L6*M6</f>
        <v>8470</v>
      </c>
      <c r="O6" s="163"/>
      <c r="P6" s="235" t="s">
        <v>270</v>
      </c>
      <c r="Q6" s="133">
        <v>10000</v>
      </c>
      <c r="R6" s="276" t="s">
        <v>271</v>
      </c>
      <c r="S6" s="133">
        <v>7</v>
      </c>
      <c r="T6" s="1169">
        <v>3</v>
      </c>
      <c r="U6" s="1170"/>
      <c r="V6" s="156">
        <f t="shared" ref="V6:V10" si="1">Q6*S6/T6</f>
        <v>23333.333333333332</v>
      </c>
    </row>
    <row r="7" spans="2:22" ht="15" customHeight="1" thickBot="1" x14ac:dyDescent="0.2">
      <c r="B7" s="1198"/>
      <c r="C7" s="136" t="s">
        <v>151</v>
      </c>
      <c r="D7" s="136"/>
      <c r="E7" s="136"/>
      <c r="F7" s="136"/>
      <c r="G7" s="137">
        <f>SUM(G5:G6)</f>
        <v>200000</v>
      </c>
      <c r="H7" s="146"/>
      <c r="I7" s="985"/>
      <c r="J7" s="264"/>
      <c r="K7" s="283"/>
      <c r="L7" s="283"/>
      <c r="M7" s="283"/>
      <c r="N7" s="135">
        <f t="shared" ref="N7:N8" si="2">K7*L7*M7</f>
        <v>0</v>
      </c>
      <c r="O7" s="163"/>
      <c r="P7" s="235" t="s">
        <v>272</v>
      </c>
      <c r="Q7" s="133">
        <v>4000</v>
      </c>
      <c r="R7" s="276" t="s">
        <v>273</v>
      </c>
      <c r="S7" s="133">
        <v>420</v>
      </c>
      <c r="T7" s="1169">
        <v>11</v>
      </c>
      <c r="U7" s="1170"/>
      <c r="V7" s="156">
        <f t="shared" si="1"/>
        <v>152727.27272727274</v>
      </c>
    </row>
    <row r="8" spans="2:22" ht="15" customHeight="1" thickTop="1" x14ac:dyDescent="0.15">
      <c r="B8" s="1196" t="s">
        <v>160</v>
      </c>
      <c r="C8" s="264" t="s">
        <v>790</v>
      </c>
      <c r="D8" s="264">
        <v>10</v>
      </c>
      <c r="E8" s="265" t="s">
        <v>638</v>
      </c>
      <c r="F8" s="264">
        <v>610</v>
      </c>
      <c r="G8" s="135">
        <f>D8*F8</f>
        <v>6100</v>
      </c>
      <c r="H8" s="146"/>
      <c r="I8" s="985"/>
      <c r="J8" s="264"/>
      <c r="K8" s="283"/>
      <c r="L8" s="283"/>
      <c r="M8" s="283"/>
      <c r="N8" s="135">
        <f t="shared" si="2"/>
        <v>0</v>
      </c>
      <c r="O8" s="163"/>
      <c r="P8" s="235" t="s">
        <v>274</v>
      </c>
      <c r="Q8" s="133">
        <v>50</v>
      </c>
      <c r="R8" s="276" t="s">
        <v>275</v>
      </c>
      <c r="S8" s="133">
        <v>400</v>
      </c>
      <c r="T8" s="1169">
        <v>10</v>
      </c>
      <c r="U8" s="1170"/>
      <c r="V8" s="156">
        <f t="shared" si="1"/>
        <v>2000</v>
      </c>
    </row>
    <row r="9" spans="2:22" ht="15" customHeight="1" thickBot="1" x14ac:dyDescent="0.2">
      <c r="B9" s="985"/>
      <c r="C9" s="264"/>
      <c r="D9" s="264"/>
      <c r="E9" s="265"/>
      <c r="F9" s="264"/>
      <c r="G9" s="135">
        <f>D9*F9</f>
        <v>0</v>
      </c>
      <c r="H9" s="146"/>
      <c r="I9" s="1198"/>
      <c r="J9" s="236" t="s">
        <v>276</v>
      </c>
      <c r="K9" s="150">
        <f>SUM(K6:K8)</f>
        <v>40</v>
      </c>
      <c r="L9" s="150">
        <f>SUM(L6:L8)</f>
        <v>2.5</v>
      </c>
      <c r="M9" s="150"/>
      <c r="N9" s="149">
        <f>SUM(N6:N8)</f>
        <v>8470</v>
      </c>
      <c r="O9" s="163"/>
      <c r="P9" s="235" t="s">
        <v>777</v>
      </c>
      <c r="Q9" s="343">
        <v>25</v>
      </c>
      <c r="R9" s="342" t="s">
        <v>377</v>
      </c>
      <c r="S9" s="133">
        <v>17280</v>
      </c>
      <c r="T9" s="1169">
        <v>5</v>
      </c>
      <c r="U9" s="1170"/>
      <c r="V9" s="156">
        <f t="shared" si="1"/>
        <v>86400</v>
      </c>
    </row>
    <row r="10" spans="2:22" ht="15" customHeight="1" thickTop="1" thickBot="1" x14ac:dyDescent="0.2">
      <c r="B10" s="1198"/>
      <c r="C10" s="138" t="s">
        <v>152</v>
      </c>
      <c r="D10" s="139"/>
      <c r="E10" s="139"/>
      <c r="F10" s="139"/>
      <c r="G10" s="140">
        <f>SUM(G8:G9)</f>
        <v>6100</v>
      </c>
      <c r="H10" s="146"/>
      <c r="I10" s="1196" t="s">
        <v>277</v>
      </c>
      <c r="J10" s="401" t="s">
        <v>650</v>
      </c>
      <c r="K10" s="405">
        <v>49</v>
      </c>
      <c r="L10" s="405">
        <v>2</v>
      </c>
      <c r="M10" s="405">
        <v>158.4</v>
      </c>
      <c r="N10" s="403">
        <f>L10*M10*K10</f>
        <v>15523.2</v>
      </c>
      <c r="O10" s="163"/>
      <c r="P10" s="235" t="s">
        <v>382</v>
      </c>
      <c r="Q10" s="133">
        <v>19000</v>
      </c>
      <c r="R10" s="276" t="s">
        <v>383</v>
      </c>
      <c r="S10" s="133">
        <v>100</v>
      </c>
      <c r="T10" s="1169">
        <v>5</v>
      </c>
      <c r="U10" s="1170"/>
      <c r="V10" s="156">
        <f t="shared" si="1"/>
        <v>380000</v>
      </c>
    </row>
    <row r="11" spans="2:22" ht="15" customHeight="1" thickTop="1" x14ac:dyDescent="0.15">
      <c r="B11" s="1196" t="s">
        <v>161</v>
      </c>
      <c r="C11" s="264" t="s">
        <v>791</v>
      </c>
      <c r="D11" s="264">
        <v>130</v>
      </c>
      <c r="E11" s="265" t="s">
        <v>279</v>
      </c>
      <c r="F11" s="264">
        <v>3370</v>
      </c>
      <c r="G11" s="135">
        <f>D11*F11</f>
        <v>438100</v>
      </c>
      <c r="H11" s="146"/>
      <c r="I11" s="985"/>
      <c r="J11" s="401" t="s">
        <v>651</v>
      </c>
      <c r="K11" s="405">
        <v>200</v>
      </c>
      <c r="L11" s="405">
        <v>1</v>
      </c>
      <c r="M11" s="405">
        <v>158.4</v>
      </c>
      <c r="N11" s="403">
        <f t="shared" ref="N11:N13" si="3">K11*L11*M11</f>
        <v>31680</v>
      </c>
      <c r="O11" s="163"/>
      <c r="P11" s="235"/>
      <c r="Q11" s="133"/>
      <c r="R11" s="276"/>
      <c r="S11" s="133"/>
      <c r="T11" s="1169"/>
      <c r="U11" s="1170"/>
      <c r="V11" s="156"/>
    </row>
    <row r="12" spans="2:22" ht="15" customHeight="1" x14ac:dyDescent="0.15">
      <c r="B12" s="985"/>
      <c r="C12" s="264" t="s">
        <v>792</v>
      </c>
      <c r="D12" s="264">
        <v>20</v>
      </c>
      <c r="E12" s="265" t="s">
        <v>275</v>
      </c>
      <c r="F12" s="264">
        <v>2920</v>
      </c>
      <c r="G12" s="135">
        <f>D12*F12</f>
        <v>58400</v>
      </c>
      <c r="H12" s="146"/>
      <c r="I12" s="985"/>
      <c r="J12" s="401" t="s">
        <v>652</v>
      </c>
      <c r="K12" s="405">
        <v>40</v>
      </c>
      <c r="L12" s="405">
        <v>1</v>
      </c>
      <c r="M12" s="405">
        <v>158.4</v>
      </c>
      <c r="N12" s="403">
        <f t="shared" si="3"/>
        <v>6336</v>
      </c>
      <c r="O12" s="163"/>
      <c r="P12" s="235"/>
      <c r="Q12" s="133"/>
      <c r="R12" s="276"/>
      <c r="S12" s="133"/>
      <c r="T12" s="1169"/>
      <c r="U12" s="1170"/>
      <c r="V12" s="156"/>
    </row>
    <row r="13" spans="2:22" ht="15" customHeight="1" x14ac:dyDescent="0.15">
      <c r="B13" s="985"/>
      <c r="C13" s="264"/>
      <c r="D13" s="264"/>
      <c r="E13" s="265"/>
      <c r="F13" s="264"/>
      <c r="G13" s="135">
        <f>D13*F13</f>
        <v>0</v>
      </c>
      <c r="H13" s="146"/>
      <c r="I13" s="985"/>
      <c r="J13" s="401" t="s">
        <v>653</v>
      </c>
      <c r="K13" s="405">
        <v>65</v>
      </c>
      <c r="L13" s="405">
        <v>1</v>
      </c>
      <c r="M13" s="405">
        <v>158.4</v>
      </c>
      <c r="N13" s="403">
        <f t="shared" si="3"/>
        <v>10296</v>
      </c>
      <c r="O13" s="163"/>
      <c r="P13" s="235"/>
      <c r="Q13" s="133"/>
      <c r="R13" s="276"/>
      <c r="S13" s="133"/>
      <c r="T13" s="1169"/>
      <c r="U13" s="1170"/>
      <c r="V13" s="156"/>
    </row>
    <row r="14" spans="2:22" ht="15" customHeight="1" thickBot="1" x14ac:dyDescent="0.2">
      <c r="B14" s="985"/>
      <c r="C14" s="264"/>
      <c r="D14" s="264"/>
      <c r="E14" s="264"/>
      <c r="F14" s="264"/>
      <c r="G14" s="135">
        <f t="shared" ref="G14" si="4">D14*F14</f>
        <v>0</v>
      </c>
      <c r="H14" s="146"/>
      <c r="I14" s="1198"/>
      <c r="J14" s="236" t="s">
        <v>276</v>
      </c>
      <c r="K14" s="150">
        <f t="shared" ref="K14:L14" si="5">SUM(K10:K13)</f>
        <v>354</v>
      </c>
      <c r="L14" s="150">
        <f t="shared" si="5"/>
        <v>5</v>
      </c>
      <c r="M14" s="150"/>
      <c r="N14" s="149">
        <f>SUM(N10:N13)</f>
        <v>63835.199999999997</v>
      </c>
      <c r="O14" s="163"/>
      <c r="P14" s="235"/>
      <c r="Q14" s="133"/>
      <c r="R14" s="276"/>
      <c r="S14" s="133"/>
      <c r="T14" s="1169"/>
      <c r="U14" s="1170"/>
      <c r="V14" s="156"/>
    </row>
    <row r="15" spans="2:22" ht="15" customHeight="1" thickTop="1" thickBot="1" x14ac:dyDescent="0.2">
      <c r="B15" s="1198"/>
      <c r="C15" s="138" t="s">
        <v>152</v>
      </c>
      <c r="D15" s="139"/>
      <c r="E15" s="139"/>
      <c r="F15" s="139"/>
      <c r="G15" s="140">
        <f>SUM(G11:G14)</f>
        <v>496500</v>
      </c>
      <c r="H15" s="146"/>
      <c r="I15" s="1196" t="s">
        <v>172</v>
      </c>
      <c r="J15" s="401" t="s">
        <v>654</v>
      </c>
      <c r="K15" s="405">
        <v>30</v>
      </c>
      <c r="L15" s="405">
        <v>0.4</v>
      </c>
      <c r="M15" s="405">
        <v>168.4</v>
      </c>
      <c r="N15" s="403">
        <f>K15*L15*M15</f>
        <v>2020.8000000000002</v>
      </c>
      <c r="O15" s="163"/>
      <c r="P15" s="235"/>
      <c r="Q15" s="133"/>
      <c r="R15" s="276"/>
      <c r="S15" s="133"/>
      <c r="T15" s="1169"/>
      <c r="U15" s="1170"/>
      <c r="V15" s="156"/>
    </row>
    <row r="16" spans="2:22" ht="15" customHeight="1" thickTop="1" x14ac:dyDescent="0.15">
      <c r="B16" s="1196" t="s">
        <v>163</v>
      </c>
      <c r="C16" s="264"/>
      <c r="D16" s="264"/>
      <c r="E16" s="265"/>
      <c r="F16" s="264"/>
      <c r="G16" s="135">
        <f t="shared" ref="G16" si="6">D16*F16</f>
        <v>0</v>
      </c>
      <c r="H16" s="146"/>
      <c r="I16" s="985"/>
      <c r="J16" s="264"/>
      <c r="K16" s="283"/>
      <c r="L16" s="283"/>
      <c r="M16" s="283"/>
      <c r="N16" s="135">
        <f t="shared" ref="N16:N17" si="7">K16*L16*M16</f>
        <v>0</v>
      </c>
      <c r="O16" s="163"/>
      <c r="P16" s="235"/>
      <c r="Q16" s="133"/>
      <c r="R16" s="276"/>
      <c r="S16" s="133"/>
      <c r="T16" s="1169"/>
      <c r="U16" s="1170"/>
      <c r="V16" s="156"/>
    </row>
    <row r="17" spans="2:22" ht="15" customHeight="1" x14ac:dyDescent="0.15">
      <c r="B17" s="985"/>
      <c r="C17" s="264"/>
      <c r="D17" s="264"/>
      <c r="E17" s="265"/>
      <c r="F17" s="264"/>
      <c r="G17" s="135">
        <f>D17*F17</f>
        <v>0</v>
      </c>
      <c r="H17" s="146"/>
      <c r="I17" s="985"/>
      <c r="J17" s="264"/>
      <c r="K17" s="283"/>
      <c r="L17" s="283"/>
      <c r="M17" s="283"/>
      <c r="N17" s="135">
        <f t="shared" si="7"/>
        <v>0</v>
      </c>
      <c r="O17" s="163"/>
      <c r="P17" s="235"/>
      <c r="Q17" s="133"/>
      <c r="R17" s="276"/>
      <c r="S17" s="133"/>
      <c r="T17" s="1169"/>
      <c r="U17" s="1170"/>
      <c r="V17" s="156"/>
    </row>
    <row r="18" spans="2:22" ht="15" customHeight="1" thickBot="1" x14ac:dyDescent="0.2">
      <c r="B18" s="985"/>
      <c r="C18" s="264"/>
      <c r="D18" s="264"/>
      <c r="E18" s="264"/>
      <c r="F18" s="264"/>
      <c r="G18" s="135">
        <f t="shared" ref="G18" si="8">D18*F18</f>
        <v>0</v>
      </c>
      <c r="H18" s="146"/>
      <c r="I18" s="1198"/>
      <c r="J18" s="236" t="s">
        <v>280</v>
      </c>
      <c r="K18" s="150">
        <f>SUM(K15:K17)</f>
        <v>30</v>
      </c>
      <c r="L18" s="151">
        <f>SUM(L15:L17)</f>
        <v>0.4</v>
      </c>
      <c r="M18" s="152"/>
      <c r="N18" s="149">
        <f>SUM(N15:N17)</f>
        <v>2020.8000000000002</v>
      </c>
      <c r="O18" s="163"/>
      <c r="P18" s="235"/>
      <c r="Q18" s="133"/>
      <c r="R18" s="276"/>
      <c r="S18" s="133"/>
      <c r="T18" s="1169"/>
      <c r="U18" s="1170"/>
      <c r="V18" s="156"/>
    </row>
    <row r="19" spans="2:22" ht="15" customHeight="1" thickTop="1" thickBot="1" x14ac:dyDescent="0.2">
      <c r="B19" s="1198"/>
      <c r="C19" s="138" t="s">
        <v>152</v>
      </c>
      <c r="D19" s="139"/>
      <c r="E19" s="139"/>
      <c r="F19" s="139"/>
      <c r="G19" s="140">
        <f>SUM(G16:G18)</f>
        <v>0</v>
      </c>
      <c r="H19" s="146"/>
      <c r="I19" s="1196" t="s">
        <v>173</v>
      </c>
      <c r="J19" s="401" t="s">
        <v>655</v>
      </c>
      <c r="K19" s="405">
        <v>83</v>
      </c>
      <c r="L19" s="405">
        <v>12</v>
      </c>
      <c r="M19" s="405">
        <v>102.1</v>
      </c>
      <c r="N19" s="562">
        <f>+K19*L19*M19</f>
        <v>101691.59999999999</v>
      </c>
      <c r="O19" s="163"/>
      <c r="P19" s="291" t="s">
        <v>29</v>
      </c>
      <c r="Q19" s="247"/>
      <c r="R19" s="247"/>
      <c r="S19" s="247"/>
      <c r="T19" s="1222"/>
      <c r="U19" s="1206"/>
      <c r="V19" s="292">
        <f>SUM(V5:V18)</f>
        <v>679460.60606060608</v>
      </c>
    </row>
    <row r="20" spans="2:22" ht="15" customHeight="1" thickTop="1" x14ac:dyDescent="0.15">
      <c r="B20" s="1196" t="s">
        <v>164</v>
      </c>
      <c r="C20" s="264"/>
      <c r="D20" s="264"/>
      <c r="E20" s="265"/>
      <c r="F20" s="264"/>
      <c r="G20" s="135">
        <f>D20*F20</f>
        <v>0</v>
      </c>
      <c r="H20" s="146"/>
      <c r="I20" s="985"/>
      <c r="J20" s="264"/>
      <c r="K20" s="283"/>
      <c r="L20" s="283"/>
      <c r="M20" s="283"/>
      <c r="N20" s="135">
        <f t="shared" ref="N20:N21" si="9">K20*L20*M20</f>
        <v>0</v>
      </c>
      <c r="O20" s="163"/>
    </row>
    <row r="21" spans="2:22" ht="15" customHeight="1" thickBot="1" x14ac:dyDescent="0.2">
      <c r="B21" s="985"/>
      <c r="C21" s="264"/>
      <c r="D21" s="264"/>
      <c r="E21" s="265"/>
      <c r="F21" s="264"/>
      <c r="G21" s="135">
        <f>D21*F21</f>
        <v>0</v>
      </c>
      <c r="H21" s="146"/>
      <c r="I21" s="985"/>
      <c r="J21" s="264"/>
      <c r="K21" s="283"/>
      <c r="L21" s="283"/>
      <c r="M21" s="283"/>
      <c r="N21" s="135">
        <f t="shared" si="9"/>
        <v>0</v>
      </c>
      <c r="O21" s="163"/>
      <c r="P21" s="154" t="s">
        <v>228</v>
      </c>
    </row>
    <row r="22" spans="2:22" ht="15" customHeight="1" thickBot="1" x14ac:dyDescent="0.2">
      <c r="B22" s="985"/>
      <c r="C22" s="264"/>
      <c r="D22" s="264"/>
      <c r="E22" s="265"/>
      <c r="F22" s="264"/>
      <c r="G22" s="135">
        <f>D22*F22</f>
        <v>0</v>
      </c>
      <c r="H22" s="146"/>
      <c r="I22" s="1198"/>
      <c r="J22" s="236" t="s">
        <v>282</v>
      </c>
      <c r="K22" s="150">
        <f>SUM(K19:K21)</f>
        <v>83</v>
      </c>
      <c r="L22" s="151">
        <f>SUM(L19:L21)</f>
        <v>12</v>
      </c>
      <c r="M22" s="152"/>
      <c r="N22" s="149">
        <f>SUM(N19:N21)</f>
        <v>101691.59999999999</v>
      </c>
      <c r="O22" s="163"/>
      <c r="P22" s="288" t="s">
        <v>180</v>
      </c>
      <c r="Q22" s="289" t="s">
        <v>175</v>
      </c>
      <c r="R22" s="289" t="s">
        <v>176</v>
      </c>
      <c r="S22" s="289" t="s">
        <v>267</v>
      </c>
      <c r="T22" s="289" t="s">
        <v>177</v>
      </c>
      <c r="U22" s="293" t="s">
        <v>181</v>
      </c>
      <c r="V22" s="290" t="s">
        <v>178</v>
      </c>
    </row>
    <row r="23" spans="2:22" ht="15" customHeight="1" thickTop="1" thickBot="1" x14ac:dyDescent="0.2">
      <c r="B23" s="1197"/>
      <c r="C23" s="141" t="s">
        <v>154</v>
      </c>
      <c r="D23" s="142"/>
      <c r="E23" s="142"/>
      <c r="F23" s="148"/>
      <c r="G23" s="143">
        <f>SUM(G20:G22)</f>
        <v>0</v>
      </c>
      <c r="I23" s="1196" t="s">
        <v>245</v>
      </c>
      <c r="J23" s="264"/>
      <c r="K23" s="283"/>
      <c r="L23" s="283"/>
      <c r="M23" s="283"/>
      <c r="N23" s="135">
        <f>K23*L23*M23</f>
        <v>0</v>
      </c>
      <c r="O23" s="163"/>
      <c r="P23" s="235" t="s">
        <v>283</v>
      </c>
      <c r="Q23" s="133">
        <v>8</v>
      </c>
      <c r="R23" s="294" t="s">
        <v>284</v>
      </c>
      <c r="S23" s="133">
        <v>1000</v>
      </c>
      <c r="T23" s="133">
        <v>3</v>
      </c>
      <c r="U23" s="263">
        <v>3</v>
      </c>
      <c r="V23" s="156">
        <f>Q23*S23/T23/U23</f>
        <v>888.8888888888888</v>
      </c>
    </row>
    <row r="24" spans="2:22" ht="15" customHeight="1" x14ac:dyDescent="0.15">
      <c r="H24" s="147"/>
      <c r="I24" s="985"/>
      <c r="J24" s="264"/>
      <c r="K24" s="283"/>
      <c r="L24" s="283"/>
      <c r="M24" s="283"/>
      <c r="N24" s="135">
        <f t="shared" ref="N24:N25" si="10">K24*L24*M24</f>
        <v>0</v>
      </c>
      <c r="O24" s="163"/>
      <c r="P24" s="235" t="s">
        <v>285</v>
      </c>
      <c r="Q24" s="133">
        <v>8</v>
      </c>
      <c r="R24" s="276" t="s">
        <v>103</v>
      </c>
      <c r="S24" s="133">
        <v>10000</v>
      </c>
      <c r="T24" s="133">
        <v>11</v>
      </c>
      <c r="U24" s="263">
        <v>3</v>
      </c>
      <c r="V24" s="156">
        <f>Q24*S24/T24/U24</f>
        <v>2424.2424242424245</v>
      </c>
    </row>
    <row r="25" spans="2:22" ht="15" customHeight="1" thickBot="1" x14ac:dyDescent="0.2">
      <c r="B25" s="4" t="s">
        <v>286</v>
      </c>
      <c r="C25" s="4"/>
      <c r="D25" s="45"/>
      <c r="E25" s="4"/>
      <c r="F25" s="45"/>
      <c r="G25" s="47"/>
      <c r="H25" s="145"/>
      <c r="I25" s="985"/>
      <c r="J25" s="264"/>
      <c r="K25" s="283"/>
      <c r="L25" s="283"/>
      <c r="M25" s="283"/>
      <c r="N25" s="135">
        <f t="shared" si="10"/>
        <v>0</v>
      </c>
      <c r="O25" s="163"/>
      <c r="P25" s="235" t="s">
        <v>654</v>
      </c>
      <c r="Q25" s="133">
        <v>8</v>
      </c>
      <c r="R25" s="566" t="s">
        <v>103</v>
      </c>
      <c r="S25" s="133">
        <v>35000</v>
      </c>
      <c r="T25" s="133">
        <v>7</v>
      </c>
      <c r="U25" s="263">
        <v>3</v>
      </c>
      <c r="V25" s="156">
        <f>Q25*S25/T25/U25</f>
        <v>13333.333333333334</v>
      </c>
    </row>
    <row r="26" spans="2:22" ht="15" customHeight="1" thickBot="1" x14ac:dyDescent="0.2">
      <c r="B26" s="285" t="s">
        <v>91</v>
      </c>
      <c r="C26" s="286" t="s">
        <v>145</v>
      </c>
      <c r="D26" s="286" t="s">
        <v>146</v>
      </c>
      <c r="E26" s="286" t="s">
        <v>147</v>
      </c>
      <c r="F26" s="286" t="s">
        <v>24</v>
      </c>
      <c r="G26" s="268" t="s">
        <v>148</v>
      </c>
      <c r="H26" s="146"/>
      <c r="I26" s="1198"/>
      <c r="J26" s="236" t="s">
        <v>287</v>
      </c>
      <c r="K26" s="150">
        <f>SUM(K23:K25)</f>
        <v>0</v>
      </c>
      <c r="L26" s="151">
        <f>SUM(L23:L25)</f>
        <v>0</v>
      </c>
      <c r="M26" s="152"/>
      <c r="N26" s="149">
        <f>SUM(N23:N25)</f>
        <v>0</v>
      </c>
      <c r="O26" s="163"/>
      <c r="P26" s="235" t="s">
        <v>658</v>
      </c>
      <c r="Q26" s="133">
        <v>16</v>
      </c>
      <c r="R26" s="566" t="s">
        <v>284</v>
      </c>
      <c r="S26" s="133">
        <v>950</v>
      </c>
      <c r="T26" s="133">
        <v>5</v>
      </c>
      <c r="U26" s="263">
        <v>3</v>
      </c>
      <c r="V26" s="156">
        <f>Q26*S26/T26/U26</f>
        <v>1013.3333333333334</v>
      </c>
    </row>
    <row r="27" spans="2:22" ht="15" customHeight="1" thickTop="1" x14ac:dyDescent="0.15">
      <c r="B27" s="1025" t="s">
        <v>30</v>
      </c>
      <c r="C27" s="264" t="s">
        <v>765</v>
      </c>
      <c r="D27" s="282">
        <v>6</v>
      </c>
      <c r="E27" s="265" t="s">
        <v>639</v>
      </c>
      <c r="F27" s="264">
        <v>3103</v>
      </c>
      <c r="G27" s="134">
        <f t="shared" ref="G27:G36" si="11">D27*F27</f>
        <v>18618</v>
      </c>
      <c r="H27" s="146"/>
      <c r="I27" s="1196" t="s">
        <v>169</v>
      </c>
      <c r="J27" s="401" t="s">
        <v>656</v>
      </c>
      <c r="K27" s="405">
        <v>720</v>
      </c>
      <c r="L27" s="405">
        <v>0.8</v>
      </c>
      <c r="M27" s="405">
        <v>14</v>
      </c>
      <c r="N27" s="403">
        <f>K27*L27*M27</f>
        <v>8064</v>
      </c>
      <c r="O27" s="163"/>
      <c r="P27" s="235" t="s">
        <v>659</v>
      </c>
      <c r="Q27" s="133">
        <v>2</v>
      </c>
      <c r="R27" s="566" t="s">
        <v>660</v>
      </c>
      <c r="S27" s="133">
        <v>500</v>
      </c>
      <c r="T27" s="133">
        <v>5</v>
      </c>
      <c r="U27" s="263">
        <v>3</v>
      </c>
      <c r="V27" s="156">
        <f>Q27*S27/T27/U27</f>
        <v>66.666666666666671</v>
      </c>
    </row>
    <row r="28" spans="2:22" ht="15" customHeight="1" x14ac:dyDescent="0.15">
      <c r="B28" s="985"/>
      <c r="C28" s="264" t="s">
        <v>767</v>
      </c>
      <c r="D28" s="282">
        <v>18</v>
      </c>
      <c r="E28" s="265" t="s">
        <v>640</v>
      </c>
      <c r="F28" s="264">
        <v>1629</v>
      </c>
      <c r="G28" s="135">
        <f t="shared" si="11"/>
        <v>29322</v>
      </c>
      <c r="H28" s="146"/>
      <c r="I28" s="985"/>
      <c r="J28" s="264"/>
      <c r="K28" s="283"/>
      <c r="L28" s="283"/>
      <c r="M28" s="283"/>
      <c r="N28" s="135">
        <f t="shared" ref="N28:N29" si="12">K28*L28*M28</f>
        <v>0</v>
      </c>
      <c r="O28" s="44"/>
      <c r="P28" s="235"/>
      <c r="Q28" s="133"/>
      <c r="R28" s="294"/>
      <c r="S28" s="133"/>
      <c r="T28" s="133"/>
      <c r="U28" s="263"/>
      <c r="V28" s="156"/>
    </row>
    <row r="29" spans="2:22" ht="15" customHeight="1" x14ac:dyDescent="0.15">
      <c r="B29" s="985"/>
      <c r="C29" s="264" t="s">
        <v>769</v>
      </c>
      <c r="D29" s="282">
        <v>9</v>
      </c>
      <c r="E29" s="265" t="s">
        <v>638</v>
      </c>
      <c r="F29" s="264">
        <v>1844</v>
      </c>
      <c r="G29" s="135">
        <f t="shared" si="11"/>
        <v>16596</v>
      </c>
      <c r="H29" s="146"/>
      <c r="I29" s="985"/>
      <c r="J29" s="264"/>
      <c r="K29" s="283"/>
      <c r="L29" s="283"/>
      <c r="M29" s="283"/>
      <c r="N29" s="135">
        <f t="shared" si="12"/>
        <v>0</v>
      </c>
      <c r="P29" s="235"/>
      <c r="Q29" s="133"/>
      <c r="R29" s="276"/>
      <c r="S29" s="133"/>
      <c r="T29" s="133"/>
      <c r="U29" s="263"/>
      <c r="V29" s="156"/>
    </row>
    <row r="30" spans="2:22" ht="15" customHeight="1" thickBot="1" x14ac:dyDescent="0.2">
      <c r="B30" s="985"/>
      <c r="C30" s="264" t="s">
        <v>771</v>
      </c>
      <c r="D30" s="282">
        <v>12</v>
      </c>
      <c r="E30" s="265" t="s">
        <v>640</v>
      </c>
      <c r="F30" s="264">
        <v>3922</v>
      </c>
      <c r="G30" s="135">
        <f t="shared" si="11"/>
        <v>47064</v>
      </c>
      <c r="H30" s="146"/>
      <c r="I30" s="1197"/>
      <c r="J30" s="237" t="s">
        <v>288</v>
      </c>
      <c r="K30" s="153">
        <f>SUM(K27:K29)</f>
        <v>720</v>
      </c>
      <c r="L30" s="295">
        <f>SUM(L27:L29)</f>
        <v>0.8</v>
      </c>
      <c r="M30" s="155"/>
      <c r="N30" s="296">
        <f>SUM(N27:N29)</f>
        <v>8064</v>
      </c>
      <c r="P30" s="235"/>
      <c r="Q30" s="133"/>
      <c r="R30" s="276"/>
      <c r="S30" s="133"/>
      <c r="T30" s="133"/>
      <c r="U30" s="263"/>
      <c r="V30" s="156"/>
    </row>
    <row r="31" spans="2:22" ht="15" customHeight="1" x14ac:dyDescent="0.15">
      <c r="B31" s="985"/>
      <c r="C31" s="264" t="s">
        <v>773</v>
      </c>
      <c r="D31" s="282">
        <v>6</v>
      </c>
      <c r="E31" s="265" t="s">
        <v>638</v>
      </c>
      <c r="F31" s="264">
        <v>3816</v>
      </c>
      <c r="G31" s="135">
        <f t="shared" si="11"/>
        <v>22896</v>
      </c>
      <c r="H31" s="146"/>
      <c r="I31" s="128"/>
      <c r="J31" s="128"/>
      <c r="K31" s="128"/>
      <c r="L31" s="128"/>
      <c r="M31" s="128"/>
      <c r="N31" s="128"/>
      <c r="P31" s="235"/>
      <c r="Q31" s="133"/>
      <c r="R31" s="276"/>
      <c r="S31" s="133"/>
      <c r="T31" s="133"/>
      <c r="U31" s="263"/>
      <c r="V31" s="156"/>
    </row>
    <row r="32" spans="2:22" ht="15" customHeight="1" thickBot="1" x14ac:dyDescent="0.2">
      <c r="B32" s="985"/>
      <c r="C32" s="264"/>
      <c r="D32" s="264"/>
      <c r="E32" s="265"/>
      <c r="F32" s="264"/>
      <c r="G32" s="135">
        <f t="shared" si="11"/>
        <v>0</v>
      </c>
      <c r="H32" s="146"/>
      <c r="I32" s="297" t="s">
        <v>226</v>
      </c>
      <c r="J32" s="118"/>
      <c r="K32" s="118"/>
      <c r="L32" s="118"/>
      <c r="M32" s="118"/>
      <c r="P32" s="235"/>
      <c r="Q32" s="133"/>
      <c r="R32" s="276"/>
      <c r="S32" s="133"/>
      <c r="T32" s="133"/>
      <c r="U32" s="263"/>
      <c r="V32" s="156"/>
    </row>
    <row r="33" spans="2:22" ht="15" customHeight="1" thickBot="1" x14ac:dyDescent="0.2">
      <c r="B33" s="985"/>
      <c r="C33" s="264"/>
      <c r="D33" s="264"/>
      <c r="E33" s="265"/>
      <c r="F33" s="264"/>
      <c r="G33" s="135">
        <f t="shared" si="11"/>
        <v>0</v>
      </c>
      <c r="H33" s="146"/>
      <c r="I33" s="221" t="s">
        <v>214</v>
      </c>
      <c r="J33" s="298" t="s">
        <v>5</v>
      </c>
      <c r="K33" s="1182" t="s">
        <v>215</v>
      </c>
      <c r="L33" s="1183"/>
      <c r="M33" s="299" t="s">
        <v>181</v>
      </c>
      <c r="N33" s="300" t="s">
        <v>289</v>
      </c>
      <c r="P33" s="279" t="s">
        <v>219</v>
      </c>
      <c r="Q33" s="247"/>
      <c r="R33" s="247"/>
      <c r="S33" s="247"/>
      <c r="T33" s="247"/>
      <c r="U33" s="157"/>
      <c r="V33" s="292">
        <f>SUM(V23:V32)</f>
        <v>17726.464646464647</v>
      </c>
    </row>
    <row r="34" spans="2:22" ht="15" customHeight="1" x14ac:dyDescent="0.15">
      <c r="B34" s="985"/>
      <c r="C34" s="264"/>
      <c r="D34" s="264"/>
      <c r="E34" s="265"/>
      <c r="F34" s="264"/>
      <c r="G34" s="135">
        <f t="shared" si="11"/>
        <v>0</v>
      </c>
      <c r="H34" s="146"/>
      <c r="I34" s="1166" t="s">
        <v>2</v>
      </c>
      <c r="J34" s="144" t="s">
        <v>339</v>
      </c>
      <c r="K34" s="1184">
        <v>2160000</v>
      </c>
      <c r="L34" s="1184"/>
      <c r="M34" s="558">
        <v>3</v>
      </c>
      <c r="N34" s="229">
        <f>+K34/M34/1000*10*0.3*0.014</f>
        <v>30.240000000000002</v>
      </c>
    </row>
    <row r="35" spans="2:22" ht="15" customHeight="1" thickBot="1" x14ac:dyDescent="0.2">
      <c r="B35" s="985"/>
      <c r="C35" s="264"/>
      <c r="D35" s="264"/>
      <c r="E35" s="265"/>
      <c r="F35" s="264"/>
      <c r="G35" s="135">
        <f t="shared" si="11"/>
        <v>0</v>
      </c>
      <c r="H35" s="146"/>
      <c r="I35" s="1248"/>
      <c r="J35" s="144" t="s">
        <v>649</v>
      </c>
      <c r="K35" s="1184">
        <v>2160000</v>
      </c>
      <c r="L35" s="1184"/>
      <c r="M35" s="558">
        <v>3</v>
      </c>
      <c r="N35" s="229">
        <f>+K35/M35/1000*10*0.3*0.014</f>
        <v>30.240000000000002</v>
      </c>
      <c r="P35" s="297" t="s">
        <v>220</v>
      </c>
      <c r="Q35" s="118"/>
      <c r="R35" s="118"/>
      <c r="S35" s="118"/>
      <c r="T35" s="118"/>
    </row>
    <row r="36" spans="2:22" ht="15" customHeight="1" x14ac:dyDescent="0.15">
      <c r="B36" s="985"/>
      <c r="C36" s="264"/>
      <c r="D36" s="264"/>
      <c r="E36" s="265"/>
      <c r="F36" s="264"/>
      <c r="G36" s="135">
        <f t="shared" si="11"/>
        <v>0</v>
      </c>
      <c r="H36" s="146"/>
      <c r="I36" s="1248"/>
      <c r="J36" s="144" t="s">
        <v>657</v>
      </c>
      <c r="K36" s="1228">
        <v>5000000</v>
      </c>
      <c r="L36" s="1229"/>
      <c r="M36" s="558">
        <v>1</v>
      </c>
      <c r="N36" s="229">
        <f>K36*0.3*0.014</f>
        <v>21000</v>
      </c>
      <c r="O36" s="154"/>
      <c r="P36" s="221" t="s">
        <v>212</v>
      </c>
      <c r="Q36" s="1181" t="s">
        <v>221</v>
      </c>
      <c r="R36" s="1181"/>
      <c r="S36" s="278" t="s">
        <v>224</v>
      </c>
      <c r="T36" s="278" t="s">
        <v>223</v>
      </c>
      <c r="U36" s="301" t="s">
        <v>181</v>
      </c>
      <c r="V36" s="239" t="s">
        <v>289</v>
      </c>
    </row>
    <row r="37" spans="2:22" ht="15" customHeight="1" thickBot="1" x14ac:dyDescent="0.2">
      <c r="B37" s="1198"/>
      <c r="C37" s="136" t="s">
        <v>151</v>
      </c>
      <c r="D37" s="136"/>
      <c r="E37" s="136"/>
      <c r="F37" s="136"/>
      <c r="G37" s="137">
        <f>SUM(G27:G36)</f>
        <v>134496</v>
      </c>
      <c r="H37" s="146"/>
      <c r="I37" s="1248"/>
      <c r="J37" s="144"/>
      <c r="K37" s="1184"/>
      <c r="L37" s="1184"/>
      <c r="M37" s="280"/>
      <c r="N37" s="229"/>
      <c r="O37" s="154"/>
      <c r="P37" s="1179" t="s">
        <v>222</v>
      </c>
      <c r="Q37" s="568" t="s">
        <v>667</v>
      </c>
      <c r="R37" s="570" t="s">
        <v>668</v>
      </c>
      <c r="S37" s="571">
        <v>263720</v>
      </c>
      <c r="T37" s="572">
        <v>1</v>
      </c>
      <c r="U37" s="571">
        <v>1</v>
      </c>
      <c r="V37" s="573">
        <f>26372*10</f>
        <v>263720</v>
      </c>
    </row>
    <row r="38" spans="2:22" ht="15" customHeight="1" thickTop="1" x14ac:dyDescent="0.15">
      <c r="B38" s="1196" t="s">
        <v>165</v>
      </c>
      <c r="C38" s="264" t="s">
        <v>764</v>
      </c>
      <c r="D38" s="303">
        <v>3</v>
      </c>
      <c r="E38" s="265" t="s">
        <v>641</v>
      </c>
      <c r="F38" s="264">
        <v>7590</v>
      </c>
      <c r="G38" s="135">
        <f>D38*F38</f>
        <v>22770</v>
      </c>
      <c r="H38" s="146"/>
      <c r="I38" s="1248"/>
      <c r="J38" s="144"/>
      <c r="K38" s="1184"/>
      <c r="L38" s="1184"/>
      <c r="M38" s="558"/>
      <c r="N38" s="229"/>
      <c r="O38" s="154"/>
      <c r="P38" s="1177"/>
      <c r="Q38" s="225"/>
      <c r="R38" s="242"/>
      <c r="S38" s="226"/>
      <c r="T38" s="243"/>
      <c r="U38" s="226"/>
      <c r="V38" s="229"/>
    </row>
    <row r="39" spans="2:22" ht="15" customHeight="1" x14ac:dyDescent="0.15">
      <c r="B39" s="985"/>
      <c r="C39" s="264" t="s">
        <v>766</v>
      </c>
      <c r="D39" s="282">
        <v>6</v>
      </c>
      <c r="E39" s="265" t="s">
        <v>640</v>
      </c>
      <c r="F39" s="264">
        <v>3459</v>
      </c>
      <c r="G39" s="135">
        <f>D39*F39</f>
        <v>20754</v>
      </c>
      <c r="H39" s="146"/>
      <c r="I39" s="1248"/>
      <c r="J39" s="144"/>
      <c r="K39" s="1184"/>
      <c r="L39" s="1184"/>
      <c r="M39" s="280"/>
      <c r="N39" s="229"/>
      <c r="O39" s="154"/>
      <c r="P39" s="1177"/>
      <c r="Q39" s="225"/>
      <c r="R39" s="242"/>
      <c r="S39" s="226"/>
      <c r="T39" s="243"/>
      <c r="U39" s="226"/>
      <c r="V39" s="229"/>
    </row>
    <row r="40" spans="2:22" ht="15" customHeight="1" x14ac:dyDescent="0.15">
      <c r="B40" s="985"/>
      <c r="C40" s="264" t="s">
        <v>768</v>
      </c>
      <c r="D40" s="282">
        <v>6</v>
      </c>
      <c r="E40" s="265" t="s">
        <v>642</v>
      </c>
      <c r="F40" s="264">
        <v>4576</v>
      </c>
      <c r="G40" s="135">
        <f t="shared" ref="G40:G49" si="13">D40*F40</f>
        <v>27456</v>
      </c>
      <c r="H40" s="146"/>
      <c r="I40" s="1248"/>
      <c r="J40" s="144" t="s">
        <v>213</v>
      </c>
      <c r="K40" s="1184"/>
      <c r="L40" s="1184"/>
      <c r="M40" s="280"/>
      <c r="N40" s="229"/>
      <c r="O40" s="154"/>
      <c r="P40" s="1177"/>
      <c r="Q40" s="225"/>
      <c r="R40" s="242"/>
      <c r="S40" s="226"/>
      <c r="T40" s="243"/>
      <c r="U40" s="226"/>
      <c r="V40" s="229"/>
    </row>
    <row r="41" spans="2:22" ht="15" customHeight="1" thickBot="1" x14ac:dyDescent="0.2">
      <c r="B41" s="985"/>
      <c r="C41" s="264" t="s">
        <v>770</v>
      </c>
      <c r="D41" s="264">
        <v>6</v>
      </c>
      <c r="E41" s="265" t="s">
        <v>642</v>
      </c>
      <c r="F41" s="264">
        <v>5152</v>
      </c>
      <c r="G41" s="135">
        <f t="shared" si="13"/>
        <v>30912</v>
      </c>
      <c r="H41" s="146"/>
      <c r="I41" s="1249"/>
      <c r="J41" s="222" t="s">
        <v>152</v>
      </c>
      <c r="K41" s="1215"/>
      <c r="L41" s="1216"/>
      <c r="M41" s="223"/>
      <c r="N41" s="228">
        <f>SUM(N34:N40)</f>
        <v>21060.48</v>
      </c>
      <c r="O41" s="154"/>
      <c r="P41" s="1177"/>
      <c r="Q41" s="225"/>
      <c r="R41" s="242"/>
      <c r="S41" s="226"/>
      <c r="T41" s="243"/>
      <c r="U41" s="226"/>
      <c r="V41" s="229"/>
    </row>
    <row r="42" spans="2:22" ht="15" customHeight="1" thickTop="1" x14ac:dyDescent="0.15">
      <c r="B42" s="985"/>
      <c r="C42" s="264" t="s">
        <v>772</v>
      </c>
      <c r="D42" s="264">
        <v>6</v>
      </c>
      <c r="E42" s="265" t="s">
        <v>643</v>
      </c>
      <c r="F42" s="264">
        <v>5195</v>
      </c>
      <c r="G42" s="135">
        <f t="shared" si="13"/>
        <v>31170</v>
      </c>
      <c r="H42" s="146"/>
      <c r="I42" s="1199" t="s">
        <v>216</v>
      </c>
      <c r="J42" s="574" t="s">
        <v>229</v>
      </c>
      <c r="K42" s="1247">
        <v>4100</v>
      </c>
      <c r="L42" s="1247"/>
      <c r="M42" s="575">
        <v>30</v>
      </c>
      <c r="N42" s="576">
        <f>K42/M42</f>
        <v>136.66666666666666</v>
      </c>
      <c r="O42" s="154"/>
      <c r="P42" s="1177"/>
      <c r="Q42" s="225"/>
      <c r="R42" s="242"/>
      <c r="S42" s="226"/>
      <c r="T42" s="243"/>
      <c r="U42" s="226"/>
      <c r="V42" s="229"/>
    </row>
    <row r="43" spans="2:22" ht="15" customHeight="1" thickBot="1" x14ac:dyDescent="0.2">
      <c r="B43" s="985"/>
      <c r="C43" s="264" t="s">
        <v>774</v>
      </c>
      <c r="D43" s="264">
        <v>12</v>
      </c>
      <c r="E43" s="265" t="s">
        <v>640</v>
      </c>
      <c r="F43" s="264">
        <v>2754</v>
      </c>
      <c r="G43" s="135">
        <f t="shared" si="13"/>
        <v>33048</v>
      </c>
      <c r="H43" s="146"/>
      <c r="I43" s="1200"/>
      <c r="J43" s="225"/>
      <c r="K43" s="1184"/>
      <c r="L43" s="1184"/>
      <c r="M43" s="280"/>
      <c r="N43" s="229"/>
      <c r="O43" s="154"/>
      <c r="P43" s="1180"/>
      <c r="Q43" s="230" t="s">
        <v>225</v>
      </c>
      <c r="R43" s="231"/>
      <c r="S43" s="231"/>
      <c r="T43" s="231"/>
      <c r="U43" s="231"/>
      <c r="V43" s="232">
        <f>SUM(V37:V42)</f>
        <v>263720</v>
      </c>
    </row>
    <row r="44" spans="2:22" ht="15" customHeight="1" thickTop="1" x14ac:dyDescent="0.15">
      <c r="B44" s="985"/>
      <c r="C44" s="264"/>
      <c r="D44" s="264"/>
      <c r="E44" s="265"/>
      <c r="F44" s="264"/>
      <c r="G44" s="135">
        <f t="shared" si="13"/>
        <v>0</v>
      </c>
      <c r="H44" s="146"/>
      <c r="I44" s="1200"/>
      <c r="J44" s="144"/>
      <c r="K44" s="1184"/>
      <c r="L44" s="1184"/>
      <c r="M44" s="280"/>
      <c r="N44" s="229"/>
      <c r="O44" s="154"/>
      <c r="P44" s="1176" t="s">
        <v>230</v>
      </c>
      <c r="Q44" s="1173" t="s">
        <v>233</v>
      </c>
      <c r="R44" s="245" t="s">
        <v>229</v>
      </c>
      <c r="S44" s="225">
        <v>15600</v>
      </c>
      <c r="T44" s="243">
        <v>1</v>
      </c>
      <c r="U44" s="568">
        <v>30</v>
      </c>
      <c r="V44" s="229">
        <f>+S44*T44/U44</f>
        <v>520</v>
      </c>
    </row>
    <row r="45" spans="2:22" ht="15" customHeight="1" thickBot="1" x14ac:dyDescent="0.2">
      <c r="B45" s="985"/>
      <c r="C45" s="264"/>
      <c r="D45" s="264"/>
      <c r="E45" s="264"/>
      <c r="F45" s="264"/>
      <c r="G45" s="135">
        <f t="shared" si="13"/>
        <v>0</v>
      </c>
      <c r="H45" s="146"/>
      <c r="I45" s="1218"/>
      <c r="J45" s="222" t="s">
        <v>152</v>
      </c>
      <c r="K45" s="1215"/>
      <c r="L45" s="1216"/>
      <c r="M45" s="223"/>
      <c r="N45" s="228">
        <f>SUM(N42:N44)</f>
        <v>136.66666666666666</v>
      </c>
      <c r="O45" s="154"/>
      <c r="P45" s="1177"/>
      <c r="Q45" s="1174"/>
      <c r="R45" s="245"/>
      <c r="S45" s="225"/>
      <c r="T45" s="243"/>
      <c r="U45" s="225"/>
      <c r="V45" s="229"/>
    </row>
    <row r="46" spans="2:22" ht="15" customHeight="1" thickTop="1" x14ac:dyDescent="0.15">
      <c r="B46" s="985"/>
      <c r="C46" s="264"/>
      <c r="D46" s="264"/>
      <c r="E46" s="264"/>
      <c r="F46" s="264"/>
      <c r="G46" s="135">
        <f t="shared" si="13"/>
        <v>0</v>
      </c>
      <c r="H46" s="146"/>
      <c r="I46" s="1199" t="s">
        <v>217</v>
      </c>
      <c r="J46" s="224"/>
      <c r="K46" s="1217"/>
      <c r="L46" s="1217"/>
      <c r="M46" s="281"/>
      <c r="N46" s="240"/>
      <c r="O46" s="154"/>
      <c r="P46" s="1177"/>
      <c r="Q46" s="1174"/>
      <c r="R46" s="245"/>
      <c r="S46" s="225"/>
      <c r="T46" s="225"/>
      <c r="U46" s="144"/>
      <c r="V46" s="246"/>
    </row>
    <row r="47" spans="2:22" ht="15" customHeight="1" x14ac:dyDescent="0.15">
      <c r="B47" s="985"/>
      <c r="C47" s="264"/>
      <c r="D47" s="264"/>
      <c r="E47" s="264"/>
      <c r="F47" s="264"/>
      <c r="G47" s="135">
        <f t="shared" si="13"/>
        <v>0</v>
      </c>
      <c r="H47" s="146"/>
      <c r="I47" s="1200"/>
      <c r="J47" s="225"/>
      <c r="K47" s="1184"/>
      <c r="L47" s="1184"/>
      <c r="M47" s="280"/>
      <c r="N47" s="229"/>
      <c r="O47" s="154"/>
      <c r="P47" s="1177"/>
      <c r="Q47" s="1174"/>
      <c r="R47" s="245"/>
      <c r="S47" s="225"/>
      <c r="T47" s="243"/>
      <c r="U47" s="225"/>
      <c r="V47" s="229"/>
    </row>
    <row r="48" spans="2:22" ht="15" customHeight="1" thickBot="1" x14ac:dyDescent="0.2">
      <c r="B48" s="1198"/>
      <c r="C48" s="138" t="s">
        <v>152</v>
      </c>
      <c r="D48" s="139"/>
      <c r="E48" s="139"/>
      <c r="F48" s="139"/>
      <c r="G48" s="140">
        <f>SUM(G38:G47)</f>
        <v>166110</v>
      </c>
      <c r="H48" s="146"/>
      <c r="I48" s="1200"/>
      <c r="J48" s="144"/>
      <c r="K48" s="1184"/>
      <c r="L48" s="1184"/>
      <c r="M48" s="280"/>
      <c r="N48" s="229"/>
      <c r="O48" s="154"/>
      <c r="P48" s="1177"/>
      <c r="Q48" s="1245"/>
      <c r="R48" s="245"/>
      <c r="S48" s="225"/>
      <c r="T48" s="225"/>
      <c r="U48" s="144"/>
      <c r="V48" s="246"/>
    </row>
    <row r="49" spans="2:22" ht="15" customHeight="1" thickTop="1" thickBot="1" x14ac:dyDescent="0.2">
      <c r="B49" s="1196" t="s">
        <v>32</v>
      </c>
      <c r="C49" s="264" t="s">
        <v>775</v>
      </c>
      <c r="D49" s="303">
        <v>0.8</v>
      </c>
      <c r="E49" s="265" t="s">
        <v>642</v>
      </c>
      <c r="F49" s="264">
        <v>29604</v>
      </c>
      <c r="G49" s="135">
        <f t="shared" si="13"/>
        <v>23683.200000000001</v>
      </c>
      <c r="H49" s="146"/>
      <c r="I49" s="1218"/>
      <c r="J49" s="222" t="s">
        <v>152</v>
      </c>
      <c r="K49" s="1215"/>
      <c r="L49" s="1216"/>
      <c r="M49" s="223"/>
      <c r="N49" s="228">
        <f>SUM(N46:N48)</f>
        <v>0</v>
      </c>
      <c r="O49" s="154"/>
      <c r="P49" s="1177"/>
      <c r="Q49" s="230" t="s">
        <v>225</v>
      </c>
      <c r="R49" s="231"/>
      <c r="S49" s="231"/>
      <c r="T49" s="231"/>
      <c r="U49" s="231"/>
      <c r="V49" s="232">
        <f>SUM(V44:V48)</f>
        <v>520</v>
      </c>
    </row>
    <row r="50" spans="2:22" ht="15" customHeight="1" thickTop="1" x14ac:dyDescent="0.15">
      <c r="B50" s="985"/>
      <c r="C50" s="264"/>
      <c r="D50" s="282"/>
      <c r="E50" s="265"/>
      <c r="F50" s="264"/>
      <c r="G50" s="135"/>
      <c r="H50" s="146"/>
      <c r="I50" s="1199" t="s">
        <v>218</v>
      </c>
      <c r="J50" s="280" t="s">
        <v>229</v>
      </c>
      <c r="K50" s="1211">
        <v>5000</v>
      </c>
      <c r="L50" s="1212"/>
      <c r="M50" s="569">
        <v>30</v>
      </c>
      <c r="N50" s="229">
        <f>+K50/M50</f>
        <v>166.66666666666666</v>
      </c>
      <c r="O50" s="154"/>
      <c r="P50" s="1177"/>
      <c r="Q50" s="1173" t="s">
        <v>235</v>
      </c>
      <c r="R50" s="245" t="s">
        <v>229</v>
      </c>
      <c r="S50" s="225">
        <v>25000</v>
      </c>
      <c r="T50" s="243">
        <v>1</v>
      </c>
      <c r="U50" s="568">
        <v>30</v>
      </c>
      <c r="V50" s="229">
        <f>+S50*T50/U50</f>
        <v>833.33333333333337</v>
      </c>
    </row>
    <row r="51" spans="2:22" ht="15" customHeight="1" x14ac:dyDescent="0.15">
      <c r="B51" s="985"/>
      <c r="C51" s="264"/>
      <c r="D51" s="264"/>
      <c r="E51" s="265"/>
      <c r="F51" s="264"/>
      <c r="G51" s="135"/>
      <c r="H51" s="146"/>
      <c r="I51" s="1200"/>
      <c r="J51" s="225"/>
      <c r="K51" s="1209"/>
      <c r="L51" s="1210"/>
      <c r="M51" s="234"/>
      <c r="N51" s="229"/>
      <c r="O51" s="154"/>
      <c r="P51" s="1177"/>
      <c r="Q51" s="1174"/>
      <c r="R51" s="245"/>
      <c r="S51" s="225"/>
      <c r="T51" s="243"/>
      <c r="U51" s="225"/>
      <c r="V51" s="229"/>
    </row>
    <row r="52" spans="2:22" ht="14.25" thickBot="1" x14ac:dyDescent="0.2">
      <c r="B52" s="1198"/>
      <c r="C52" s="138" t="s">
        <v>152</v>
      </c>
      <c r="D52" s="139"/>
      <c r="E52" s="139"/>
      <c r="F52" s="139"/>
      <c r="G52" s="140">
        <f>SUM(G49:G51)</f>
        <v>23683.200000000001</v>
      </c>
      <c r="I52" s="1200"/>
      <c r="J52" s="225"/>
      <c r="K52" s="1209"/>
      <c r="L52" s="1210"/>
      <c r="M52" s="234"/>
      <c r="N52" s="229"/>
      <c r="O52" s="154"/>
      <c r="P52" s="1177"/>
      <c r="Q52" s="1174"/>
      <c r="R52" s="245"/>
      <c r="S52" s="225"/>
      <c r="T52" s="225"/>
      <c r="U52" s="144"/>
      <c r="V52" s="246"/>
    </row>
    <row r="53" spans="2:22" ht="14.25" customHeight="1" thickTop="1" x14ac:dyDescent="0.15">
      <c r="B53" s="1196" t="s">
        <v>166</v>
      </c>
      <c r="C53" s="264" t="s">
        <v>776</v>
      </c>
      <c r="D53" s="303">
        <v>4.5</v>
      </c>
      <c r="E53" s="265" t="s">
        <v>153</v>
      </c>
      <c r="F53" s="264">
        <v>11526</v>
      </c>
      <c r="G53" s="135">
        <f>D53*F53</f>
        <v>51867</v>
      </c>
      <c r="I53" s="1200"/>
      <c r="J53" s="225"/>
      <c r="K53" s="1209"/>
      <c r="L53" s="1210"/>
      <c r="M53" s="234"/>
      <c r="N53" s="229"/>
      <c r="O53" s="154"/>
      <c r="P53" s="1177"/>
      <c r="Q53" s="1174"/>
      <c r="R53" s="245"/>
      <c r="S53" s="225"/>
      <c r="T53" s="243"/>
      <c r="U53" s="225"/>
      <c r="V53" s="229"/>
    </row>
    <row r="54" spans="2:22" x14ac:dyDescent="0.15">
      <c r="B54" s="985"/>
      <c r="C54" s="264"/>
      <c r="D54" s="264"/>
      <c r="E54" s="265"/>
      <c r="F54" s="264"/>
      <c r="G54" s="135">
        <f>D54*F54</f>
        <v>0</v>
      </c>
      <c r="I54" s="1200"/>
      <c r="J54" s="225"/>
      <c r="K54" s="1209"/>
      <c r="L54" s="1210"/>
      <c r="M54" s="234"/>
      <c r="N54" s="304"/>
      <c r="O54" s="154"/>
      <c r="P54" s="1177"/>
      <c r="Q54" s="1245"/>
      <c r="R54" s="245"/>
      <c r="S54" s="225"/>
      <c r="T54" s="225"/>
      <c r="U54" s="144"/>
      <c r="V54" s="246"/>
    </row>
    <row r="55" spans="2:22" x14ac:dyDescent="0.15">
      <c r="B55" s="985"/>
      <c r="C55" s="264"/>
      <c r="D55" s="264"/>
      <c r="E55" s="265"/>
      <c r="F55" s="264"/>
      <c r="G55" s="135">
        <f>D55*F55</f>
        <v>0</v>
      </c>
      <c r="I55" s="1166"/>
      <c r="J55" s="305" t="s">
        <v>152</v>
      </c>
      <c r="K55" s="1213"/>
      <c r="L55" s="1214"/>
      <c r="M55" s="306"/>
      <c r="N55" s="307">
        <f>SUM(N50:N54)</f>
        <v>166.66666666666666</v>
      </c>
      <c r="O55" s="154"/>
      <c r="P55" s="1246"/>
      <c r="Q55" s="249" t="s">
        <v>225</v>
      </c>
      <c r="R55" s="250"/>
      <c r="S55" s="250"/>
      <c r="T55" s="250"/>
      <c r="U55" s="250"/>
      <c r="V55" s="251">
        <f>SUM(V50:V54)</f>
        <v>833.33333333333337</v>
      </c>
    </row>
    <row r="56" spans="2:22" ht="14.25" thickBot="1" x14ac:dyDescent="0.2">
      <c r="B56" s="1197"/>
      <c r="C56" s="141" t="s">
        <v>154</v>
      </c>
      <c r="D56" s="142"/>
      <c r="E56" s="142"/>
      <c r="F56" s="142"/>
      <c r="G56" s="143">
        <f>SUM(G53:G55)</f>
        <v>51867</v>
      </c>
      <c r="I56" s="1205" t="s">
        <v>219</v>
      </c>
      <c r="J56" s="1206"/>
      <c r="K56" s="1207"/>
      <c r="L56" s="1208"/>
      <c r="M56" s="157"/>
      <c r="N56" s="248">
        <f>SUM(N41,N45,N49,N55)</f>
        <v>21363.813333333335</v>
      </c>
      <c r="O56" s="154"/>
      <c r="P56" s="1243" t="s">
        <v>219</v>
      </c>
      <c r="Q56" s="1244"/>
      <c r="R56" s="247"/>
      <c r="S56" s="247"/>
      <c r="T56" s="247"/>
      <c r="U56" s="247"/>
      <c r="V56" s="248">
        <f>SUM(V43,V49,V55)</f>
        <v>265073.33333333331</v>
      </c>
    </row>
    <row r="57" spans="2:22" x14ac:dyDescent="0.15">
      <c r="O57" s="154"/>
      <c r="V57" s="43"/>
    </row>
    <row r="58" spans="2:22" x14ac:dyDescent="0.15">
      <c r="I58" s="154"/>
      <c r="J58" s="154"/>
      <c r="K58" s="154"/>
      <c r="L58" s="154"/>
      <c r="M58" s="154"/>
      <c r="N58" s="154"/>
      <c r="O58" s="154"/>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H64" s="43"/>
      <c r="I64" s="154"/>
      <c r="J64" s="154"/>
      <c r="K64" s="154"/>
      <c r="L64" s="154"/>
      <c r="M64" s="154"/>
      <c r="N64" s="154"/>
      <c r="O64" s="154"/>
      <c r="P64" s="43"/>
      <c r="R64" s="43"/>
      <c r="V64" s="43"/>
    </row>
    <row r="65" spans="8:22" x14ac:dyDescent="0.15">
      <c r="H65" s="43"/>
      <c r="I65" s="154"/>
      <c r="J65" s="154"/>
      <c r="K65" s="154"/>
      <c r="L65" s="154"/>
      <c r="M65" s="154"/>
      <c r="N65" s="154"/>
      <c r="O65" s="154"/>
      <c r="P65" s="43"/>
      <c r="R65" s="43"/>
      <c r="V65" s="43"/>
    </row>
    <row r="66" spans="8:22" x14ac:dyDescent="0.15">
      <c r="H66" s="43"/>
      <c r="I66" s="154"/>
      <c r="J66" s="154"/>
      <c r="K66" s="154"/>
      <c r="L66" s="154"/>
      <c r="M66" s="154"/>
      <c r="N66" s="154"/>
      <c r="O66" s="154"/>
      <c r="P66" s="43"/>
      <c r="R66" s="43"/>
      <c r="V66" s="43"/>
    </row>
    <row r="67" spans="8:22" x14ac:dyDescent="0.15">
      <c r="H67" s="43"/>
      <c r="I67" s="154"/>
      <c r="J67" s="154"/>
      <c r="K67" s="154"/>
      <c r="L67" s="154"/>
      <c r="M67" s="154"/>
      <c r="N67" s="154"/>
      <c r="O67" s="154"/>
      <c r="P67" s="43"/>
      <c r="R67" s="43"/>
      <c r="V67" s="43"/>
    </row>
    <row r="68" spans="8:22" x14ac:dyDescent="0.15">
      <c r="H68" s="43"/>
      <c r="I68" s="154"/>
      <c r="J68" s="154"/>
      <c r="K68" s="154"/>
      <c r="L68" s="154"/>
      <c r="M68" s="154"/>
      <c r="N68" s="154"/>
      <c r="O68" s="154"/>
      <c r="P68" s="43"/>
      <c r="R68" s="43"/>
      <c r="V68" s="43"/>
    </row>
    <row r="69" spans="8:22" x14ac:dyDescent="0.15">
      <c r="H69" s="43"/>
      <c r="I69" s="154"/>
      <c r="J69" s="154"/>
      <c r="K69" s="154"/>
      <c r="L69" s="154"/>
      <c r="M69" s="154"/>
      <c r="N69" s="154"/>
      <c r="O69" s="154"/>
      <c r="P69" s="43"/>
      <c r="R69" s="43"/>
      <c r="V69" s="43"/>
    </row>
    <row r="70" spans="8:22" x14ac:dyDescent="0.15">
      <c r="H70" s="43"/>
      <c r="I70" s="154"/>
      <c r="J70" s="154"/>
      <c r="K70" s="154"/>
      <c r="L70" s="154"/>
      <c r="M70" s="154"/>
      <c r="N70" s="154"/>
      <c r="O70" s="154"/>
      <c r="P70" s="43"/>
      <c r="R70" s="43"/>
      <c r="V70" s="43"/>
    </row>
    <row r="71" spans="8:22" x14ac:dyDescent="0.15">
      <c r="H71" s="43"/>
      <c r="I71" s="154"/>
      <c r="J71" s="154"/>
      <c r="K71" s="154"/>
      <c r="L71" s="154"/>
      <c r="M71" s="154"/>
      <c r="N71" s="154"/>
      <c r="O71" s="154"/>
      <c r="P71" s="43"/>
      <c r="R71" s="43"/>
      <c r="V71" s="43"/>
    </row>
    <row r="72" spans="8:22" x14ac:dyDescent="0.15">
      <c r="H72" s="43"/>
      <c r="I72" s="154"/>
      <c r="J72" s="154"/>
      <c r="K72" s="154"/>
      <c r="L72" s="154"/>
      <c r="M72" s="154"/>
      <c r="N72" s="154"/>
      <c r="O72" s="154"/>
      <c r="P72" s="43"/>
      <c r="R72" s="43"/>
      <c r="V72" s="43"/>
    </row>
    <row r="73" spans="8:22" x14ac:dyDescent="0.15">
      <c r="H73" s="43"/>
      <c r="I73" s="154"/>
      <c r="J73" s="154"/>
      <c r="K73" s="154"/>
      <c r="L73" s="154"/>
      <c r="M73" s="154"/>
      <c r="N73" s="154"/>
      <c r="O73" s="154"/>
      <c r="P73" s="43"/>
      <c r="R73" s="43"/>
      <c r="V73" s="43"/>
    </row>
    <row r="74" spans="8:22" x14ac:dyDescent="0.15">
      <c r="H74" s="43"/>
      <c r="I74" s="154"/>
      <c r="J74" s="154"/>
      <c r="K74" s="154"/>
      <c r="L74" s="154"/>
      <c r="M74" s="154"/>
      <c r="N74" s="154"/>
      <c r="O74" s="154"/>
      <c r="P74" s="43"/>
      <c r="R74" s="43"/>
      <c r="V74" s="43"/>
    </row>
    <row r="75" spans="8:22" x14ac:dyDescent="0.15">
      <c r="H75" s="43"/>
      <c r="I75" s="154"/>
      <c r="J75" s="154"/>
      <c r="K75" s="154"/>
      <c r="L75" s="154"/>
      <c r="M75" s="154"/>
      <c r="N75" s="154"/>
      <c r="O75" s="154"/>
      <c r="P75" s="43"/>
      <c r="R75" s="43"/>
      <c r="V75" s="43"/>
    </row>
    <row r="76" spans="8:22" x14ac:dyDescent="0.15">
      <c r="H76" s="43"/>
      <c r="I76" s="154"/>
      <c r="J76" s="154"/>
      <c r="K76" s="154"/>
      <c r="L76" s="154"/>
      <c r="M76" s="154"/>
      <c r="N76" s="154"/>
      <c r="O76" s="154"/>
      <c r="P76" s="43"/>
      <c r="R76" s="43"/>
      <c r="V76" s="43"/>
    </row>
    <row r="77" spans="8:22" x14ac:dyDescent="0.15">
      <c r="H77" s="43"/>
      <c r="I77" s="154"/>
      <c r="J77" s="154"/>
      <c r="K77" s="154"/>
      <c r="L77" s="154"/>
      <c r="M77" s="154"/>
      <c r="N77" s="154"/>
      <c r="O77" s="154"/>
      <c r="P77" s="43"/>
      <c r="R77" s="43"/>
      <c r="V77" s="43"/>
    </row>
    <row r="78" spans="8:22" x14ac:dyDescent="0.15">
      <c r="H78" s="43"/>
      <c r="I78" s="154"/>
      <c r="J78" s="154"/>
      <c r="K78" s="154"/>
      <c r="L78" s="154"/>
      <c r="M78" s="154"/>
      <c r="N78" s="154"/>
      <c r="O78" s="154"/>
      <c r="P78" s="43"/>
      <c r="R78" s="43"/>
      <c r="V78" s="43"/>
    </row>
    <row r="79" spans="8:22" x14ac:dyDescent="0.15">
      <c r="H79" s="43"/>
      <c r="I79" s="154"/>
      <c r="J79" s="154"/>
      <c r="K79" s="154"/>
      <c r="L79" s="154"/>
      <c r="M79" s="154"/>
      <c r="N79" s="154"/>
      <c r="O79" s="154"/>
      <c r="P79" s="43"/>
      <c r="R79" s="43"/>
      <c r="V79" s="43"/>
    </row>
    <row r="80" spans="8:22" x14ac:dyDescent="0.15">
      <c r="I80" s="154"/>
      <c r="J80" s="154"/>
      <c r="K80" s="154"/>
      <c r="L80" s="154"/>
      <c r="M80" s="154"/>
      <c r="N80" s="154"/>
      <c r="O80" s="154"/>
      <c r="P80" s="43"/>
      <c r="R80" s="43"/>
      <c r="V80" s="43"/>
    </row>
    <row r="81" spans="2:22" x14ac:dyDescent="0.15">
      <c r="I81" s="154"/>
      <c r="J81" s="154"/>
      <c r="K81" s="154"/>
      <c r="L81" s="154"/>
      <c r="M81" s="154"/>
      <c r="N81" s="154"/>
      <c r="O81" s="154"/>
      <c r="P81" s="43"/>
      <c r="R81" s="43"/>
      <c r="V81" s="43"/>
    </row>
    <row r="82" spans="2:22" x14ac:dyDescent="0.15">
      <c r="B82" s="145"/>
      <c r="C82" s="146"/>
      <c r="D82" s="146"/>
      <c r="E82" s="146"/>
      <c r="F82" s="146"/>
      <c r="I82" s="154"/>
      <c r="J82" s="154"/>
      <c r="K82" s="154"/>
      <c r="L82" s="154"/>
      <c r="M82" s="154"/>
      <c r="N82" s="154"/>
      <c r="O82" s="154"/>
      <c r="P82" s="43"/>
      <c r="R82" s="43"/>
      <c r="V82" s="43"/>
    </row>
    <row r="83" spans="2:22" x14ac:dyDescent="0.15">
      <c r="B83" s="145"/>
      <c r="C83" s="146"/>
      <c r="D83" s="146"/>
      <c r="E83" s="146"/>
      <c r="F83" s="146"/>
      <c r="I83" s="154"/>
      <c r="J83" s="154"/>
      <c r="K83" s="154"/>
      <c r="L83" s="154"/>
      <c r="M83" s="154"/>
      <c r="N83" s="154"/>
      <c r="O83" s="154"/>
      <c r="P83" s="43"/>
      <c r="R83" s="43"/>
      <c r="V83" s="43"/>
    </row>
    <row r="84" spans="2:22" x14ac:dyDescent="0.15">
      <c r="I84" s="154"/>
      <c r="J84" s="154"/>
      <c r="K84" s="154"/>
      <c r="L84" s="154"/>
      <c r="M84" s="154"/>
      <c r="N84" s="154"/>
      <c r="O84" s="154"/>
      <c r="P84" s="43"/>
      <c r="R84" s="43"/>
      <c r="V84" s="43"/>
    </row>
    <row r="85" spans="2:22" x14ac:dyDescent="0.15">
      <c r="I85" s="154"/>
      <c r="J85" s="154"/>
      <c r="K85" s="154"/>
      <c r="L85" s="154"/>
      <c r="M85" s="154"/>
      <c r="N85" s="154"/>
      <c r="O85" s="154"/>
      <c r="P85" s="43"/>
      <c r="R85" s="43"/>
      <c r="V85" s="43"/>
    </row>
    <row r="86" spans="2:22" x14ac:dyDescent="0.15">
      <c r="I86" s="154"/>
      <c r="J86" s="154"/>
      <c r="K86" s="154"/>
      <c r="L86" s="154"/>
      <c r="M86" s="154"/>
      <c r="N86" s="154"/>
      <c r="O86" s="154"/>
      <c r="P86" s="43"/>
      <c r="R86" s="43"/>
      <c r="V86" s="43"/>
    </row>
    <row r="87" spans="2:22" x14ac:dyDescent="0.15">
      <c r="I87" s="154"/>
      <c r="J87" s="154"/>
      <c r="K87" s="154"/>
      <c r="L87" s="154"/>
      <c r="M87" s="154"/>
      <c r="N87" s="154"/>
      <c r="O87" s="154"/>
      <c r="P87" s="43"/>
      <c r="R87" s="43"/>
      <c r="V87" s="43"/>
    </row>
    <row r="88" spans="2:22" x14ac:dyDescent="0.15">
      <c r="I88" s="154"/>
      <c r="J88" s="154"/>
      <c r="K88" s="154"/>
      <c r="L88" s="154"/>
      <c r="M88" s="154"/>
      <c r="N88" s="154"/>
      <c r="O88" s="154"/>
      <c r="P88" s="43"/>
      <c r="R88" s="43"/>
      <c r="V88" s="43"/>
    </row>
    <row r="89" spans="2:22" x14ac:dyDescent="0.15">
      <c r="I89" s="154"/>
      <c r="J89" s="154"/>
      <c r="K89" s="154"/>
      <c r="L89" s="154"/>
      <c r="M89" s="154"/>
      <c r="N89" s="154"/>
      <c r="O89" s="154"/>
      <c r="P89" s="43"/>
      <c r="R89" s="43"/>
      <c r="V89" s="43"/>
    </row>
    <row r="90" spans="2:22" x14ac:dyDescent="0.15">
      <c r="I90" s="154"/>
      <c r="J90" s="154"/>
      <c r="K90" s="154"/>
      <c r="L90" s="154"/>
      <c r="M90" s="154"/>
      <c r="N90" s="154"/>
      <c r="O90" s="154"/>
      <c r="P90" s="43"/>
      <c r="R90" s="43"/>
      <c r="V90" s="43"/>
    </row>
    <row r="91" spans="2:22" x14ac:dyDescent="0.15">
      <c r="I91" s="154"/>
      <c r="J91" s="154"/>
      <c r="K91" s="154"/>
      <c r="L91" s="154"/>
      <c r="M91" s="154"/>
      <c r="N91" s="154"/>
      <c r="O91" s="154"/>
      <c r="P91" s="43"/>
      <c r="R91" s="43"/>
      <c r="V91" s="43"/>
    </row>
    <row r="92" spans="2:22" x14ac:dyDescent="0.15">
      <c r="I92" s="154"/>
      <c r="J92" s="154"/>
      <c r="K92" s="154"/>
      <c r="L92" s="154"/>
      <c r="M92" s="154"/>
      <c r="N92" s="154"/>
      <c r="O92" s="154"/>
      <c r="P92" s="43"/>
      <c r="R92" s="43"/>
      <c r="V92" s="43"/>
    </row>
    <row r="93" spans="2:22" x14ac:dyDescent="0.15">
      <c r="I93" s="154"/>
      <c r="J93" s="154"/>
      <c r="K93" s="154"/>
      <c r="L93" s="154"/>
      <c r="M93" s="154"/>
      <c r="N93" s="154"/>
      <c r="O93" s="154"/>
      <c r="P93" s="43"/>
      <c r="R93" s="43"/>
      <c r="V93" s="43"/>
    </row>
    <row r="94" spans="2:22" x14ac:dyDescent="0.15">
      <c r="I94" s="154"/>
      <c r="J94" s="154"/>
      <c r="K94" s="154"/>
      <c r="L94" s="154"/>
      <c r="M94" s="154"/>
      <c r="N94" s="154"/>
      <c r="O94" s="154"/>
      <c r="P94" s="43"/>
      <c r="R94" s="43"/>
      <c r="V94" s="43"/>
    </row>
    <row r="95" spans="2:22" x14ac:dyDescent="0.15">
      <c r="I95" s="154"/>
      <c r="J95" s="154"/>
      <c r="K95" s="154"/>
      <c r="L95" s="154"/>
      <c r="M95" s="154"/>
      <c r="N95" s="154"/>
      <c r="O95" s="154"/>
      <c r="P95" s="43"/>
      <c r="R95" s="43"/>
      <c r="V95" s="43"/>
    </row>
    <row r="96" spans="2:22" x14ac:dyDescent="0.15">
      <c r="H96" s="43"/>
      <c r="I96" s="154"/>
      <c r="J96" s="154"/>
      <c r="K96" s="154"/>
      <c r="L96" s="154"/>
      <c r="M96" s="154"/>
      <c r="N96" s="154"/>
      <c r="O96" s="154"/>
      <c r="P96" s="43"/>
      <c r="R96" s="43"/>
      <c r="V96" s="43"/>
    </row>
    <row r="97" spans="8:22" x14ac:dyDescent="0.15">
      <c r="H97" s="43"/>
      <c r="I97" s="154"/>
      <c r="J97" s="154"/>
      <c r="K97" s="154"/>
      <c r="L97" s="154"/>
      <c r="M97" s="154"/>
      <c r="N97" s="154"/>
      <c r="O97" s="154"/>
      <c r="P97" s="43"/>
      <c r="R97" s="43"/>
      <c r="V97" s="43"/>
    </row>
    <row r="98" spans="8:22" x14ac:dyDescent="0.15">
      <c r="H98" s="43"/>
      <c r="I98" s="154"/>
      <c r="J98" s="154"/>
      <c r="K98" s="154"/>
      <c r="L98" s="154"/>
      <c r="M98" s="154"/>
      <c r="N98" s="154"/>
      <c r="O98" s="154"/>
      <c r="P98" s="43"/>
      <c r="R98" s="43"/>
      <c r="V98" s="43"/>
    </row>
    <row r="99" spans="8:22" x14ac:dyDescent="0.15">
      <c r="H99" s="43"/>
      <c r="I99" s="154"/>
      <c r="J99" s="154"/>
      <c r="K99" s="154"/>
      <c r="L99" s="154"/>
      <c r="M99" s="154"/>
      <c r="N99" s="154"/>
      <c r="O99" s="154"/>
      <c r="P99" s="43"/>
      <c r="R99" s="43"/>
      <c r="V99" s="43"/>
    </row>
    <row r="100" spans="8:22" x14ac:dyDescent="0.15">
      <c r="H100" s="43"/>
      <c r="I100" s="154"/>
      <c r="J100" s="154"/>
      <c r="K100" s="154"/>
      <c r="L100" s="154"/>
      <c r="M100" s="154"/>
      <c r="N100" s="154"/>
      <c r="O100" s="154"/>
      <c r="P100" s="43"/>
      <c r="R100" s="43"/>
      <c r="V100" s="43"/>
    </row>
    <row r="101" spans="8:22" x14ac:dyDescent="0.15">
      <c r="H101" s="43"/>
      <c r="I101" s="154"/>
      <c r="J101" s="154"/>
      <c r="K101" s="154"/>
      <c r="L101" s="154"/>
      <c r="M101" s="154"/>
      <c r="N101" s="154"/>
      <c r="O101" s="154"/>
      <c r="P101" s="43"/>
      <c r="R101" s="43"/>
      <c r="V101" s="43"/>
    </row>
    <row r="102" spans="8:22" x14ac:dyDescent="0.15">
      <c r="H102" s="43"/>
      <c r="I102" s="154"/>
      <c r="J102" s="154"/>
      <c r="K102" s="154"/>
      <c r="L102" s="154"/>
      <c r="M102" s="154"/>
      <c r="N102" s="154"/>
      <c r="O102" s="154"/>
      <c r="P102" s="43"/>
      <c r="R102" s="43"/>
      <c r="V102" s="43"/>
    </row>
    <row r="103" spans="8:22" x14ac:dyDescent="0.15">
      <c r="H103" s="43"/>
      <c r="I103" s="154"/>
      <c r="J103" s="154"/>
      <c r="K103" s="154"/>
      <c r="L103" s="154"/>
      <c r="M103" s="154"/>
      <c r="N103" s="154"/>
      <c r="O103" s="154"/>
      <c r="P103" s="43"/>
      <c r="R103" s="43"/>
      <c r="V103" s="43"/>
    </row>
    <row r="104" spans="8:22" x14ac:dyDescent="0.15">
      <c r="H104" s="43"/>
      <c r="I104" s="154"/>
      <c r="J104" s="154"/>
      <c r="K104" s="154"/>
      <c r="L104" s="154"/>
      <c r="M104" s="154"/>
      <c r="N104" s="154"/>
      <c r="O104" s="154"/>
      <c r="P104" s="43"/>
      <c r="R104" s="43"/>
      <c r="V104" s="43"/>
    </row>
    <row r="105" spans="8:22" x14ac:dyDescent="0.15">
      <c r="H105" s="43"/>
      <c r="I105" s="154"/>
      <c r="J105" s="154"/>
      <c r="K105" s="154"/>
      <c r="L105" s="154"/>
      <c r="M105" s="154"/>
      <c r="N105" s="154"/>
      <c r="O105" s="154"/>
      <c r="P105" s="43"/>
      <c r="R105" s="43"/>
      <c r="V105" s="43"/>
    </row>
    <row r="106" spans="8:22" x14ac:dyDescent="0.15">
      <c r="H106" s="43"/>
      <c r="I106" s="154"/>
      <c r="J106" s="154"/>
      <c r="K106" s="154"/>
      <c r="L106" s="154"/>
      <c r="M106" s="154"/>
      <c r="N106" s="154"/>
      <c r="O106" s="154"/>
      <c r="P106" s="43"/>
      <c r="R106" s="43"/>
      <c r="V106" s="43"/>
    </row>
    <row r="107" spans="8:22" x14ac:dyDescent="0.15">
      <c r="H107" s="43"/>
      <c r="I107" s="154"/>
      <c r="J107" s="154"/>
      <c r="K107" s="154"/>
      <c r="L107" s="154"/>
      <c r="M107" s="154"/>
      <c r="N107" s="154"/>
      <c r="O107" s="154"/>
      <c r="P107" s="43"/>
      <c r="R107" s="43"/>
      <c r="V107" s="43"/>
    </row>
    <row r="108" spans="8:22" x14ac:dyDescent="0.15">
      <c r="H108" s="43"/>
      <c r="I108" s="154"/>
      <c r="J108" s="154"/>
      <c r="K108" s="154"/>
      <c r="L108" s="154"/>
      <c r="M108" s="154"/>
      <c r="N108" s="154"/>
      <c r="O108" s="154"/>
      <c r="P108" s="43"/>
      <c r="R108" s="43"/>
      <c r="V108" s="43"/>
    </row>
    <row r="109" spans="8:22" x14ac:dyDescent="0.15">
      <c r="H109" s="43"/>
      <c r="I109" s="154"/>
      <c r="J109" s="154"/>
      <c r="K109" s="154"/>
      <c r="L109" s="154"/>
      <c r="M109" s="154"/>
      <c r="N109" s="154"/>
      <c r="O109" s="154"/>
      <c r="P109" s="43"/>
      <c r="R109" s="43"/>
      <c r="V109" s="43"/>
    </row>
    <row r="110" spans="8:22" x14ac:dyDescent="0.15">
      <c r="H110" s="43"/>
      <c r="I110" s="154"/>
      <c r="J110" s="154"/>
      <c r="K110" s="154"/>
      <c r="L110" s="154"/>
      <c r="M110" s="154"/>
      <c r="N110" s="154"/>
      <c r="O110" s="154"/>
      <c r="P110" s="43"/>
      <c r="R110" s="43"/>
      <c r="V110" s="43"/>
    </row>
    <row r="111" spans="8:22" x14ac:dyDescent="0.15">
      <c r="H111" s="43"/>
      <c r="I111" s="154"/>
      <c r="J111" s="154"/>
      <c r="K111" s="154"/>
      <c r="L111" s="154"/>
      <c r="M111" s="154"/>
      <c r="N111" s="154"/>
      <c r="O111" s="154"/>
      <c r="P111" s="43"/>
      <c r="R111" s="43"/>
      <c r="V111" s="43"/>
    </row>
    <row r="112" spans="8:22" x14ac:dyDescent="0.15">
      <c r="H112" s="43"/>
      <c r="I112" s="154"/>
      <c r="J112" s="154"/>
      <c r="K112" s="154"/>
      <c r="L112" s="154"/>
      <c r="M112" s="154"/>
      <c r="N112" s="154"/>
      <c r="O112" s="154"/>
      <c r="P112" s="43"/>
      <c r="R112" s="43"/>
      <c r="V112" s="43"/>
    </row>
    <row r="113" spans="8:22" x14ac:dyDescent="0.15">
      <c r="H113" s="43"/>
      <c r="I113" s="154"/>
      <c r="J113" s="154"/>
      <c r="K113" s="154"/>
      <c r="L113" s="154"/>
      <c r="M113" s="154"/>
      <c r="N113" s="154"/>
      <c r="O113" s="154"/>
      <c r="P113" s="43"/>
      <c r="R113" s="43"/>
      <c r="V113" s="43"/>
    </row>
    <row r="114" spans="8:22" x14ac:dyDescent="0.15">
      <c r="H114" s="43"/>
      <c r="I114" s="154"/>
      <c r="J114" s="154"/>
      <c r="K114" s="154"/>
      <c r="L114" s="154"/>
      <c r="M114" s="154"/>
      <c r="N114" s="154"/>
      <c r="O114" s="154"/>
      <c r="P114" s="43"/>
      <c r="R114" s="43"/>
      <c r="V114" s="43"/>
    </row>
    <row r="115" spans="8:22" x14ac:dyDescent="0.15">
      <c r="H115" s="43"/>
      <c r="I115" s="154"/>
      <c r="J115" s="154"/>
      <c r="K115" s="154"/>
      <c r="L115" s="154"/>
      <c r="M115" s="154"/>
      <c r="N115" s="154"/>
      <c r="O115" s="154"/>
      <c r="P115" s="43"/>
      <c r="R115" s="43"/>
      <c r="V115" s="43"/>
    </row>
    <row r="116" spans="8:22" x14ac:dyDescent="0.15">
      <c r="H116" s="43"/>
      <c r="I116" s="154"/>
      <c r="J116" s="154"/>
      <c r="K116" s="154"/>
      <c r="L116" s="154"/>
      <c r="M116" s="154"/>
      <c r="N116" s="154"/>
      <c r="O116" s="154"/>
      <c r="P116" s="43"/>
      <c r="R116" s="43"/>
      <c r="V116" s="43"/>
    </row>
    <row r="117" spans="8:22" x14ac:dyDescent="0.15">
      <c r="H117" s="43"/>
      <c r="I117" s="154"/>
      <c r="J117" s="154"/>
      <c r="K117" s="154"/>
      <c r="L117" s="154"/>
      <c r="M117" s="154"/>
      <c r="N117" s="154"/>
      <c r="O117" s="154"/>
      <c r="P117" s="43"/>
      <c r="R117" s="43"/>
      <c r="V117" s="43"/>
    </row>
    <row r="118" spans="8:22" x14ac:dyDescent="0.15">
      <c r="H118" s="43"/>
      <c r="I118" s="154"/>
      <c r="J118" s="154"/>
      <c r="K118" s="154"/>
      <c r="L118" s="154"/>
      <c r="M118" s="154"/>
      <c r="N118" s="154"/>
      <c r="O118" s="154"/>
      <c r="P118" s="43"/>
      <c r="R118" s="43"/>
      <c r="V118" s="43"/>
    </row>
    <row r="119" spans="8:22" x14ac:dyDescent="0.15">
      <c r="H119" s="43"/>
      <c r="I119" s="154"/>
      <c r="J119" s="154"/>
      <c r="K119" s="154"/>
      <c r="L119" s="154"/>
      <c r="M119" s="154"/>
      <c r="N119" s="154"/>
      <c r="O119" s="154"/>
      <c r="P119" s="43"/>
      <c r="R119" s="43"/>
      <c r="V119" s="43"/>
    </row>
    <row r="120" spans="8:22" x14ac:dyDescent="0.15">
      <c r="H120" s="43"/>
      <c r="I120" s="154"/>
      <c r="J120" s="154"/>
      <c r="K120" s="154"/>
      <c r="L120" s="154"/>
      <c r="M120" s="154"/>
      <c r="N120" s="154"/>
      <c r="O120" s="154"/>
      <c r="P120" s="43"/>
      <c r="R120" s="43"/>
      <c r="V120" s="43"/>
    </row>
    <row r="121" spans="8:22" x14ac:dyDescent="0.15">
      <c r="H121" s="43"/>
      <c r="I121" s="154"/>
      <c r="J121" s="154"/>
      <c r="K121" s="154"/>
      <c r="L121" s="154"/>
      <c r="M121" s="154"/>
      <c r="N121" s="154"/>
      <c r="O121" s="154"/>
      <c r="P121" s="43"/>
      <c r="R121" s="43"/>
      <c r="V121" s="43"/>
    </row>
    <row r="122" spans="8:22" x14ac:dyDescent="0.15">
      <c r="H122" s="43"/>
      <c r="I122" s="154"/>
      <c r="J122" s="154"/>
      <c r="K122" s="154"/>
      <c r="L122" s="154"/>
      <c r="M122" s="154"/>
      <c r="N122" s="154"/>
      <c r="O122" s="154"/>
      <c r="P122" s="43"/>
      <c r="R122" s="43"/>
      <c r="V122" s="43"/>
    </row>
    <row r="123" spans="8:22" x14ac:dyDescent="0.15">
      <c r="H123" s="43"/>
      <c r="I123" s="154"/>
      <c r="J123" s="154"/>
      <c r="K123" s="154"/>
      <c r="L123" s="154"/>
      <c r="M123" s="154"/>
      <c r="N123" s="154"/>
      <c r="O123" s="154"/>
      <c r="P123" s="43"/>
      <c r="R123" s="43"/>
      <c r="V123" s="43"/>
    </row>
    <row r="124" spans="8:22" x14ac:dyDescent="0.15">
      <c r="H124" s="43"/>
      <c r="I124" s="154"/>
      <c r="J124" s="154"/>
      <c r="K124" s="154"/>
      <c r="L124" s="154"/>
      <c r="M124" s="154"/>
      <c r="N124" s="154"/>
      <c r="O124" s="154"/>
      <c r="P124" s="43"/>
      <c r="R124" s="43"/>
      <c r="V124" s="43"/>
    </row>
    <row r="125" spans="8:22" x14ac:dyDescent="0.15">
      <c r="H125" s="43"/>
      <c r="I125" s="154"/>
      <c r="J125" s="154"/>
      <c r="K125" s="154"/>
      <c r="L125" s="154"/>
      <c r="M125" s="154"/>
      <c r="N125" s="154"/>
      <c r="O125" s="154"/>
      <c r="P125" s="43"/>
      <c r="R125" s="43"/>
      <c r="V125" s="43"/>
    </row>
    <row r="126" spans="8:22" x14ac:dyDescent="0.15">
      <c r="H126" s="43"/>
      <c r="I126" s="154"/>
      <c r="J126" s="154"/>
      <c r="K126" s="154"/>
      <c r="L126" s="154"/>
      <c r="M126" s="154"/>
      <c r="N126" s="154"/>
      <c r="O126" s="154"/>
      <c r="P126" s="43"/>
      <c r="R126" s="43"/>
      <c r="V126" s="43"/>
    </row>
    <row r="127" spans="8:22" x14ac:dyDescent="0.15">
      <c r="H127" s="43"/>
      <c r="I127" s="154"/>
      <c r="J127" s="154"/>
      <c r="K127" s="154"/>
      <c r="L127" s="154"/>
      <c r="M127" s="154"/>
      <c r="N127" s="154"/>
      <c r="O127" s="154"/>
      <c r="P127" s="43"/>
      <c r="R127" s="43"/>
      <c r="V127" s="43"/>
    </row>
    <row r="128" spans="8:22" x14ac:dyDescent="0.15">
      <c r="H128" s="43"/>
      <c r="I128" s="154"/>
      <c r="J128" s="154"/>
      <c r="K128" s="154"/>
      <c r="L128" s="154"/>
      <c r="M128" s="154"/>
      <c r="N128" s="154"/>
      <c r="O128" s="154"/>
      <c r="P128" s="43"/>
      <c r="R128" s="43"/>
      <c r="V128" s="43"/>
    </row>
    <row r="129" spans="8:22" x14ac:dyDescent="0.15">
      <c r="H129" s="43"/>
      <c r="I129" s="154"/>
      <c r="J129" s="154"/>
      <c r="K129" s="154"/>
      <c r="L129" s="154"/>
      <c r="M129" s="154"/>
      <c r="N129" s="154"/>
      <c r="O129" s="154"/>
      <c r="P129" s="43"/>
      <c r="R129" s="43"/>
      <c r="V129" s="43"/>
    </row>
    <row r="130" spans="8:22" x14ac:dyDescent="0.15">
      <c r="H130" s="43"/>
      <c r="I130" s="154"/>
      <c r="J130" s="154"/>
      <c r="K130" s="154"/>
      <c r="L130" s="154"/>
      <c r="M130" s="154"/>
      <c r="N130" s="154"/>
      <c r="O130" s="154"/>
      <c r="P130" s="43"/>
      <c r="R130" s="43"/>
      <c r="V130" s="43"/>
    </row>
    <row r="131" spans="8:22" x14ac:dyDescent="0.15">
      <c r="H131" s="43"/>
      <c r="I131" s="154"/>
      <c r="J131" s="154"/>
      <c r="K131" s="154"/>
      <c r="L131" s="154"/>
      <c r="M131" s="154"/>
      <c r="N131" s="154"/>
      <c r="O131" s="154"/>
      <c r="P131" s="43"/>
      <c r="R131" s="43"/>
      <c r="V131" s="43"/>
    </row>
    <row r="132" spans="8:22" x14ac:dyDescent="0.15">
      <c r="H132" s="43"/>
      <c r="I132" s="154"/>
      <c r="J132" s="154"/>
      <c r="K132" s="154"/>
      <c r="L132" s="154"/>
      <c r="M132" s="154"/>
      <c r="N132" s="154"/>
      <c r="O132" s="154"/>
      <c r="P132" s="43"/>
      <c r="R132" s="43"/>
      <c r="V132" s="43"/>
    </row>
    <row r="133" spans="8:22" x14ac:dyDescent="0.15">
      <c r="H133" s="43"/>
      <c r="I133" s="154"/>
      <c r="J133" s="154"/>
      <c r="K133" s="154"/>
      <c r="L133" s="154"/>
      <c r="M133" s="154"/>
      <c r="N133" s="154"/>
      <c r="O133" s="154"/>
      <c r="P133" s="43"/>
      <c r="R133" s="43"/>
      <c r="V133" s="43"/>
    </row>
    <row r="134" spans="8:22" x14ac:dyDescent="0.15">
      <c r="H134" s="43"/>
      <c r="I134" s="154"/>
      <c r="J134" s="154"/>
      <c r="K134" s="154"/>
      <c r="L134" s="154"/>
      <c r="M134" s="154"/>
      <c r="N134" s="154"/>
      <c r="O134" s="154"/>
      <c r="P134" s="43"/>
      <c r="R134" s="43"/>
      <c r="V134" s="43"/>
    </row>
    <row r="135" spans="8:22" x14ac:dyDescent="0.15">
      <c r="H135" s="43"/>
      <c r="I135" s="154"/>
      <c r="J135" s="154"/>
      <c r="K135" s="154"/>
      <c r="L135" s="154"/>
      <c r="M135" s="154"/>
      <c r="N135" s="154"/>
      <c r="O135" s="154"/>
      <c r="P135" s="43"/>
      <c r="R135" s="43"/>
      <c r="V135" s="43"/>
    </row>
    <row r="136" spans="8:22" x14ac:dyDescent="0.15">
      <c r="H136" s="43"/>
      <c r="I136" s="154"/>
      <c r="J136" s="154"/>
      <c r="K136" s="154"/>
      <c r="L136" s="154"/>
      <c r="M136" s="154"/>
      <c r="N136" s="154"/>
      <c r="O136" s="154"/>
      <c r="P136" s="43"/>
      <c r="R136" s="43"/>
      <c r="V136" s="43"/>
    </row>
    <row r="137" spans="8:22" x14ac:dyDescent="0.15">
      <c r="H137" s="43"/>
      <c r="I137" s="154"/>
      <c r="J137" s="154"/>
      <c r="K137" s="154"/>
      <c r="L137" s="154"/>
      <c r="M137" s="154"/>
      <c r="N137" s="154"/>
      <c r="O137" s="154"/>
      <c r="P137" s="43"/>
      <c r="R137" s="43"/>
      <c r="V137" s="43"/>
    </row>
    <row r="138" spans="8:22" x14ac:dyDescent="0.15">
      <c r="H138" s="43"/>
      <c r="I138" s="154"/>
      <c r="J138" s="154"/>
      <c r="K138" s="154"/>
      <c r="L138" s="154"/>
      <c r="M138" s="154"/>
      <c r="N138" s="154"/>
      <c r="P138" s="43"/>
      <c r="R138" s="43"/>
      <c r="V138" s="43"/>
    </row>
    <row r="139" spans="8:22" x14ac:dyDescent="0.15">
      <c r="H139" s="43"/>
      <c r="I139" s="154"/>
      <c r="J139" s="154"/>
      <c r="K139" s="154"/>
      <c r="L139" s="154"/>
      <c r="M139" s="154"/>
      <c r="N139" s="154"/>
      <c r="P139" s="43"/>
      <c r="R139" s="43"/>
      <c r="V139" s="43"/>
    </row>
    <row r="140" spans="8:22" x14ac:dyDescent="0.15">
      <c r="H140" s="43"/>
      <c r="I140" s="154"/>
      <c r="J140" s="154"/>
      <c r="K140" s="154"/>
      <c r="L140" s="154"/>
      <c r="M140" s="154"/>
      <c r="N140" s="154"/>
      <c r="P140" s="43"/>
      <c r="R140" s="43"/>
      <c r="V140" s="43"/>
    </row>
    <row r="141" spans="8:22" x14ac:dyDescent="0.15">
      <c r="H141" s="43"/>
      <c r="I141" s="154"/>
      <c r="J141" s="154"/>
      <c r="K141" s="154"/>
      <c r="L141" s="154"/>
      <c r="M141" s="154"/>
      <c r="N141" s="154"/>
      <c r="P141" s="43"/>
      <c r="R141" s="43"/>
      <c r="V141" s="43"/>
    </row>
    <row r="142" spans="8:22" x14ac:dyDescent="0.15">
      <c r="H142" s="43"/>
      <c r="I142" s="154"/>
      <c r="J142" s="154"/>
      <c r="K142" s="154"/>
      <c r="L142" s="154"/>
      <c r="M142" s="154"/>
      <c r="N142" s="154"/>
      <c r="P142" s="43"/>
      <c r="R142" s="43"/>
      <c r="V142" s="43"/>
    </row>
    <row r="143" spans="8:22" x14ac:dyDescent="0.15">
      <c r="H143" s="43"/>
      <c r="I143" s="154"/>
      <c r="J143" s="154"/>
      <c r="K143" s="154"/>
      <c r="L143" s="154"/>
      <c r="M143" s="154"/>
      <c r="N143" s="154"/>
      <c r="P143" s="43"/>
      <c r="R143" s="43"/>
      <c r="V143" s="43"/>
    </row>
    <row r="144" spans="8:22" x14ac:dyDescent="0.15">
      <c r="H144" s="43"/>
      <c r="I144" s="154"/>
      <c r="J144" s="154"/>
      <c r="K144" s="154"/>
      <c r="L144" s="154"/>
      <c r="M144" s="154"/>
      <c r="N144" s="154"/>
      <c r="P144" s="43"/>
      <c r="R144" s="43"/>
      <c r="V144" s="43"/>
    </row>
    <row r="145" spans="8:22" x14ac:dyDescent="0.15">
      <c r="H145" s="43"/>
      <c r="I145" s="154"/>
      <c r="J145" s="154"/>
      <c r="K145" s="154"/>
      <c r="L145" s="154"/>
      <c r="M145" s="154"/>
      <c r="N145" s="154"/>
      <c r="P145" s="43"/>
      <c r="R145" s="43"/>
      <c r="V145" s="43"/>
    </row>
    <row r="146" spans="8:22" x14ac:dyDescent="0.15">
      <c r="H146" s="43"/>
      <c r="I146" s="154"/>
      <c r="J146" s="154"/>
      <c r="K146" s="154"/>
      <c r="L146" s="154"/>
      <c r="M146" s="154"/>
      <c r="N146" s="154"/>
      <c r="P146" s="43"/>
      <c r="R146" s="43"/>
      <c r="V146" s="43"/>
    </row>
    <row r="147" spans="8:22" x14ac:dyDescent="0.15">
      <c r="H147" s="43"/>
      <c r="I147" s="154"/>
      <c r="J147" s="154"/>
      <c r="K147" s="154"/>
      <c r="L147" s="154"/>
      <c r="M147" s="154"/>
      <c r="N147" s="154"/>
      <c r="P147" s="43"/>
      <c r="R147" s="43"/>
      <c r="V147" s="43"/>
    </row>
    <row r="148" spans="8:22" x14ac:dyDescent="0.15">
      <c r="H148" s="43"/>
      <c r="I148" s="154"/>
      <c r="J148" s="154"/>
      <c r="K148" s="154"/>
      <c r="L148" s="154"/>
      <c r="M148" s="154"/>
      <c r="N148" s="154"/>
      <c r="P148" s="43"/>
      <c r="R148" s="43"/>
      <c r="V148" s="43"/>
    </row>
    <row r="149" spans="8:22" x14ac:dyDescent="0.15">
      <c r="H149" s="43"/>
      <c r="I149" s="154"/>
      <c r="J149" s="154"/>
      <c r="K149" s="154"/>
      <c r="L149" s="154"/>
      <c r="M149" s="154"/>
      <c r="N149" s="154"/>
      <c r="P149" s="43"/>
      <c r="R149" s="43"/>
      <c r="V149" s="43"/>
    </row>
    <row r="150" spans="8:22" x14ac:dyDescent="0.15">
      <c r="H150" s="43"/>
      <c r="I150" s="154"/>
      <c r="J150" s="154"/>
      <c r="K150" s="154"/>
      <c r="L150" s="154"/>
      <c r="M150" s="154"/>
      <c r="N150" s="154"/>
      <c r="P150" s="43"/>
      <c r="R150" s="43"/>
      <c r="V150" s="43"/>
    </row>
    <row r="151" spans="8:22" x14ac:dyDescent="0.15">
      <c r="H151" s="43"/>
      <c r="I151" s="154"/>
      <c r="J151" s="154"/>
      <c r="K151" s="154"/>
      <c r="L151" s="154"/>
      <c r="M151" s="154"/>
      <c r="N151" s="154"/>
      <c r="P151" s="43"/>
      <c r="R151" s="43"/>
      <c r="V151" s="43"/>
    </row>
    <row r="152" spans="8:22" x14ac:dyDescent="0.15">
      <c r="H152" s="43"/>
      <c r="I152" s="154"/>
      <c r="J152" s="154"/>
      <c r="K152" s="154"/>
      <c r="L152" s="154"/>
      <c r="M152" s="154"/>
      <c r="N152" s="154"/>
      <c r="P152" s="43"/>
      <c r="R152" s="43"/>
      <c r="V152" s="43"/>
    </row>
    <row r="153" spans="8:22" x14ac:dyDescent="0.15">
      <c r="H153" s="43"/>
      <c r="I153" s="154"/>
      <c r="J153" s="154"/>
      <c r="K153" s="154"/>
      <c r="L153" s="154"/>
      <c r="M153" s="154"/>
      <c r="N153" s="154"/>
      <c r="P153" s="43"/>
      <c r="R153" s="43"/>
      <c r="V153" s="43"/>
    </row>
    <row r="154" spans="8:22" x14ac:dyDescent="0.15">
      <c r="H154" s="43"/>
      <c r="J154" s="154"/>
      <c r="K154" s="154"/>
      <c r="L154" s="154"/>
      <c r="M154" s="154"/>
      <c r="N154" s="154"/>
      <c r="P154" s="43"/>
      <c r="R154" s="43"/>
      <c r="V154" s="43"/>
    </row>
    <row r="155" spans="8:22" x14ac:dyDescent="0.15">
      <c r="H155" s="43"/>
      <c r="J155" s="154"/>
      <c r="K155" s="154"/>
      <c r="L155" s="154"/>
      <c r="M155" s="154"/>
      <c r="N155" s="154"/>
      <c r="P155" s="43"/>
      <c r="R155" s="43"/>
      <c r="V155" s="43"/>
    </row>
    <row r="171" spans="8:22" x14ac:dyDescent="0.15">
      <c r="H171" s="43"/>
      <c r="O171" s="154"/>
      <c r="P171" s="43"/>
      <c r="R171" s="43"/>
      <c r="V171" s="43"/>
    </row>
    <row r="172" spans="8:22" x14ac:dyDescent="0.15">
      <c r="H172" s="43"/>
      <c r="O172" s="154"/>
      <c r="P172" s="43"/>
      <c r="R172" s="43"/>
      <c r="V172" s="43"/>
    </row>
    <row r="173" spans="8:22" x14ac:dyDescent="0.15">
      <c r="H173" s="43"/>
      <c r="O173" s="154"/>
      <c r="P173" s="43"/>
      <c r="R173" s="43"/>
      <c r="V173" s="43"/>
    </row>
    <row r="174" spans="8:22" x14ac:dyDescent="0.15">
      <c r="H174" s="43"/>
      <c r="O174" s="154"/>
      <c r="P174" s="43"/>
      <c r="R174" s="43"/>
      <c r="V174" s="43"/>
    </row>
    <row r="175" spans="8:22" x14ac:dyDescent="0.15">
      <c r="H175" s="43"/>
      <c r="O175" s="154"/>
      <c r="P175" s="43"/>
      <c r="R175" s="43"/>
      <c r="V175" s="43"/>
    </row>
    <row r="176" spans="8:22" x14ac:dyDescent="0.15">
      <c r="H176" s="43"/>
      <c r="O176" s="154"/>
      <c r="P176" s="43"/>
      <c r="R176" s="43"/>
      <c r="V176" s="43"/>
    </row>
    <row r="177" spans="8:22" x14ac:dyDescent="0.15">
      <c r="H177" s="43"/>
      <c r="O177" s="154"/>
      <c r="P177" s="43"/>
      <c r="R177" s="43"/>
      <c r="V177" s="43"/>
    </row>
    <row r="178" spans="8:22" x14ac:dyDescent="0.15">
      <c r="H178" s="43"/>
      <c r="O178" s="154"/>
      <c r="P178" s="43"/>
      <c r="R178" s="43"/>
      <c r="V178" s="43"/>
    </row>
    <row r="179" spans="8:22" x14ac:dyDescent="0.15">
      <c r="H179" s="43"/>
      <c r="O179" s="154"/>
      <c r="P179" s="43"/>
      <c r="R179" s="43"/>
      <c r="V179" s="43"/>
    </row>
    <row r="180" spans="8:22" x14ac:dyDescent="0.15">
      <c r="H180" s="43"/>
      <c r="O180" s="154"/>
      <c r="P180" s="43"/>
      <c r="R180" s="43"/>
      <c r="V180" s="43"/>
    </row>
    <row r="181" spans="8:22" x14ac:dyDescent="0.15">
      <c r="H181" s="43"/>
      <c r="O181" s="154"/>
      <c r="P181" s="43"/>
      <c r="R181" s="43"/>
      <c r="V181" s="43"/>
    </row>
    <row r="182" spans="8:22" x14ac:dyDescent="0.15">
      <c r="H182" s="43"/>
      <c r="O182" s="154"/>
      <c r="P182" s="43"/>
      <c r="R182" s="43"/>
      <c r="V182" s="43"/>
    </row>
    <row r="183" spans="8:22" x14ac:dyDescent="0.15">
      <c r="H183" s="43"/>
      <c r="O183" s="154"/>
      <c r="P183" s="43"/>
      <c r="R183" s="43"/>
      <c r="V183" s="43"/>
    </row>
    <row r="184" spans="8:22" x14ac:dyDescent="0.15">
      <c r="H184" s="43"/>
      <c r="O184" s="154"/>
      <c r="P184" s="43"/>
      <c r="R184" s="43"/>
      <c r="V184" s="43"/>
    </row>
    <row r="185" spans="8:22" x14ac:dyDescent="0.15">
      <c r="H185" s="43"/>
      <c r="O185" s="154"/>
      <c r="P185" s="43"/>
      <c r="R185" s="43"/>
      <c r="V185" s="43"/>
    </row>
    <row r="186" spans="8:22" x14ac:dyDescent="0.15">
      <c r="H186" s="43"/>
      <c r="O186" s="154"/>
      <c r="P186" s="43"/>
      <c r="R186" s="43"/>
      <c r="V186" s="43"/>
    </row>
    <row r="187" spans="8:22" x14ac:dyDescent="0.15">
      <c r="H187" s="43"/>
      <c r="O187" s="154"/>
      <c r="P187" s="43"/>
      <c r="R187" s="43"/>
      <c r="V187" s="43"/>
    </row>
    <row r="188" spans="8:22" x14ac:dyDescent="0.15">
      <c r="H188" s="43"/>
      <c r="O188" s="154"/>
      <c r="P188" s="43"/>
      <c r="R188" s="43"/>
      <c r="V188" s="43"/>
    </row>
    <row r="189" spans="8:22" x14ac:dyDescent="0.15">
      <c r="H189" s="43"/>
      <c r="O189" s="154"/>
      <c r="P189" s="43"/>
      <c r="R189" s="43"/>
      <c r="V189" s="43"/>
    </row>
    <row r="190" spans="8:22" x14ac:dyDescent="0.15">
      <c r="H190" s="43"/>
      <c r="O190" s="154"/>
      <c r="P190" s="43"/>
      <c r="R190" s="43"/>
      <c r="V190" s="43"/>
    </row>
  </sheetData>
  <mergeCells count="70">
    <mergeCell ref="T10:U10"/>
    <mergeCell ref="T15:U15"/>
    <mergeCell ref="T16:U16"/>
    <mergeCell ref="B5:B7"/>
    <mergeCell ref="T5:U5"/>
    <mergeCell ref="I6:I9"/>
    <mergeCell ref="T6:U6"/>
    <mergeCell ref="T7:U7"/>
    <mergeCell ref="I4:I5"/>
    <mergeCell ref="J4:J5"/>
    <mergeCell ref="M4:M5"/>
    <mergeCell ref="N4:N5"/>
    <mergeCell ref="T4:U4"/>
    <mergeCell ref="B8:B10"/>
    <mergeCell ref="T8:U8"/>
    <mergeCell ref="T9:U9"/>
    <mergeCell ref="B27:B37"/>
    <mergeCell ref="B38:B48"/>
    <mergeCell ref="B11:B15"/>
    <mergeCell ref="T11:U11"/>
    <mergeCell ref="T12:U12"/>
    <mergeCell ref="T13:U13"/>
    <mergeCell ref="T14:U14"/>
    <mergeCell ref="I15:I18"/>
    <mergeCell ref="T17:U17"/>
    <mergeCell ref="B16:B19"/>
    <mergeCell ref="T18:U18"/>
    <mergeCell ref="T19:U19"/>
    <mergeCell ref="I19:I22"/>
    <mergeCell ref="B20:B23"/>
    <mergeCell ref="I10:I14"/>
    <mergeCell ref="I27:I30"/>
    <mergeCell ref="I23:I26"/>
    <mergeCell ref="K33:L33"/>
    <mergeCell ref="I34:I41"/>
    <mergeCell ref="K34:L34"/>
    <mergeCell ref="K35:L35"/>
    <mergeCell ref="K36:L36"/>
    <mergeCell ref="Q36:R36"/>
    <mergeCell ref="K37:L37"/>
    <mergeCell ref="P37:P43"/>
    <mergeCell ref="K38:L38"/>
    <mergeCell ref="K39:L39"/>
    <mergeCell ref="K40:L40"/>
    <mergeCell ref="K41:L41"/>
    <mergeCell ref="K42:L42"/>
    <mergeCell ref="K43:L43"/>
    <mergeCell ref="I42:I45"/>
    <mergeCell ref="K44:L44"/>
    <mergeCell ref="P44:P55"/>
    <mergeCell ref="Q44:Q48"/>
    <mergeCell ref="K45:L45"/>
    <mergeCell ref="K46:L46"/>
    <mergeCell ref="K47:L47"/>
    <mergeCell ref="K48:L48"/>
    <mergeCell ref="K55:L55"/>
    <mergeCell ref="I56:J56"/>
    <mergeCell ref="K56:L56"/>
    <mergeCell ref="P56:Q56"/>
    <mergeCell ref="B49:B52"/>
    <mergeCell ref="K49:L49"/>
    <mergeCell ref="I50:I55"/>
    <mergeCell ref="K50:L50"/>
    <mergeCell ref="Q50:Q54"/>
    <mergeCell ref="K51:L51"/>
    <mergeCell ref="K52:L52"/>
    <mergeCell ref="B53:B56"/>
    <mergeCell ref="K53:L53"/>
    <mergeCell ref="K54:L54"/>
    <mergeCell ref="I46:I49"/>
  </mergeCells>
  <phoneticPr fontId="4"/>
  <pageMargins left="0.78740157480314965" right="0.78740157480314965" top="0.78740157480314965" bottom="0.78740157480314965" header="0.39370078740157483" footer="0.39370078740157483"/>
  <pageSetup paperSize="9" scale="62" orientation="landscape"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zoomScaleSheetLayoutView="80" workbookViewId="0"/>
  </sheetViews>
  <sheetFormatPr defaultColWidth="9" defaultRowHeight="13.5" x14ac:dyDescent="0.15"/>
  <cols>
    <col min="1" max="1" width="1.625" style="70" customWidth="1"/>
    <col min="2" max="2" width="7.625" style="70" customWidth="1"/>
    <col min="3" max="3" width="25.625" style="70" customWidth="1"/>
    <col min="4" max="12" width="15.625" style="70" customWidth="1"/>
    <col min="13" max="16384" width="9" style="70"/>
  </cols>
  <sheetData>
    <row r="1" spans="2:12" ht="9.9499999999999993" customHeight="1" x14ac:dyDescent="0.15">
      <c r="B1" s="69"/>
      <c r="C1" s="69"/>
      <c r="D1" s="69"/>
      <c r="E1" s="69"/>
      <c r="F1" s="69"/>
      <c r="G1" s="69"/>
      <c r="H1" s="69"/>
      <c r="I1" s="69"/>
      <c r="J1" s="69"/>
      <c r="K1" s="69"/>
      <c r="L1" s="69"/>
    </row>
    <row r="2" spans="2:12" ht="24.95" customHeight="1" thickBot="1" x14ac:dyDescent="0.2">
      <c r="B2" s="70" t="s">
        <v>108</v>
      </c>
      <c r="F2" s="259" t="s">
        <v>237</v>
      </c>
      <c r="G2" s="258" t="s">
        <v>534</v>
      </c>
      <c r="I2" s="259" t="s">
        <v>238</v>
      </c>
      <c r="J2" s="258" t="s">
        <v>535</v>
      </c>
    </row>
    <row r="3" spans="2:12" ht="20.100000000000001" customHeight="1" x14ac:dyDescent="0.15">
      <c r="B3" s="883" t="s">
        <v>118</v>
      </c>
      <c r="C3" s="884"/>
      <c r="D3" s="605" t="s">
        <v>536</v>
      </c>
      <c r="E3" s="605" t="s">
        <v>537</v>
      </c>
      <c r="F3" s="605" t="s">
        <v>538</v>
      </c>
      <c r="G3" s="605" t="s">
        <v>539</v>
      </c>
      <c r="H3" s="605" t="s">
        <v>67</v>
      </c>
      <c r="I3" s="605" t="s">
        <v>328</v>
      </c>
      <c r="J3" s="605" t="s">
        <v>540</v>
      </c>
      <c r="K3" s="605" t="s">
        <v>541</v>
      </c>
      <c r="L3" s="486" t="s">
        <v>542</v>
      </c>
    </row>
    <row r="4" spans="2:12" ht="171.75" customHeight="1" x14ac:dyDescent="0.15">
      <c r="B4" s="882" t="s">
        <v>109</v>
      </c>
      <c r="C4" s="487" t="s">
        <v>110</v>
      </c>
      <c r="D4" s="680" t="s">
        <v>716</v>
      </c>
      <c r="E4" s="680" t="s">
        <v>717</v>
      </c>
      <c r="F4" s="680" t="s">
        <v>718</v>
      </c>
      <c r="G4" s="680" t="s">
        <v>719</v>
      </c>
      <c r="H4" s="680" t="s">
        <v>720</v>
      </c>
      <c r="I4" s="680" t="s">
        <v>721</v>
      </c>
      <c r="J4" s="680" t="s">
        <v>722</v>
      </c>
      <c r="K4" s="680" t="s">
        <v>723</v>
      </c>
      <c r="L4" s="681"/>
    </row>
    <row r="5" spans="2:12" ht="20.100000000000001" customHeight="1" x14ac:dyDescent="0.15">
      <c r="B5" s="882"/>
      <c r="C5" s="487" t="s">
        <v>111</v>
      </c>
      <c r="D5" s="489" t="s">
        <v>543</v>
      </c>
      <c r="E5" s="489" t="s">
        <v>544</v>
      </c>
      <c r="F5" s="489" t="s">
        <v>545</v>
      </c>
      <c r="G5" s="490"/>
      <c r="H5" s="489" t="s">
        <v>546</v>
      </c>
      <c r="I5" s="489" t="s">
        <v>547</v>
      </c>
      <c r="J5" s="489" t="s">
        <v>548</v>
      </c>
      <c r="K5" s="489" t="s">
        <v>549</v>
      </c>
      <c r="L5" s="491"/>
    </row>
    <row r="6" spans="2:12" ht="120.75" customHeight="1" x14ac:dyDescent="0.15">
      <c r="B6" s="882"/>
      <c r="C6" s="487" t="s">
        <v>117</v>
      </c>
      <c r="D6" s="337" t="s">
        <v>550</v>
      </c>
      <c r="E6" s="337" t="s">
        <v>551</v>
      </c>
      <c r="F6" s="337" t="s">
        <v>552</v>
      </c>
      <c r="G6" s="337" t="s">
        <v>553</v>
      </c>
      <c r="H6" s="72"/>
      <c r="I6" s="72" t="s">
        <v>553</v>
      </c>
      <c r="J6" s="72" t="s">
        <v>554</v>
      </c>
      <c r="K6" s="492" t="s">
        <v>555</v>
      </c>
      <c r="L6" s="488"/>
    </row>
    <row r="7" spans="2:12" ht="20.100000000000001" customHeight="1" x14ac:dyDescent="0.15">
      <c r="B7" s="882"/>
      <c r="C7" s="493" t="s">
        <v>556</v>
      </c>
      <c r="D7" s="604"/>
      <c r="E7" s="604">
        <v>16</v>
      </c>
      <c r="F7" s="604">
        <v>6</v>
      </c>
      <c r="G7" s="494">
        <v>-1</v>
      </c>
      <c r="H7" s="603"/>
      <c r="I7" s="603">
        <v>2</v>
      </c>
      <c r="J7" s="603">
        <v>6.9</v>
      </c>
      <c r="K7" s="603">
        <v>12.1</v>
      </c>
      <c r="L7" s="495"/>
    </row>
    <row r="8" spans="2:12" ht="20.100000000000001" customHeight="1" x14ac:dyDescent="0.15">
      <c r="B8" s="882"/>
      <c r="C8" s="496" t="s">
        <v>557</v>
      </c>
      <c r="D8" s="604">
        <v>17.2</v>
      </c>
      <c r="E8" s="604"/>
      <c r="F8" s="604">
        <v>18</v>
      </c>
      <c r="G8" s="494">
        <v>-1</v>
      </c>
      <c r="H8" s="603"/>
      <c r="I8" s="603">
        <v>5.0999999999999996</v>
      </c>
      <c r="J8" s="603">
        <v>23.3</v>
      </c>
      <c r="K8" s="603">
        <v>3.7</v>
      </c>
      <c r="L8" s="495">
        <v>2</v>
      </c>
    </row>
    <row r="9" spans="2:12" ht="20.100000000000001" customHeight="1" x14ac:dyDescent="0.15">
      <c r="B9" s="882"/>
      <c r="C9" s="487" t="s">
        <v>116</v>
      </c>
      <c r="D9" s="603">
        <v>6</v>
      </c>
      <c r="E9" s="603"/>
      <c r="F9" s="603">
        <v>3</v>
      </c>
      <c r="G9" s="603"/>
      <c r="H9" s="603"/>
      <c r="I9" s="603">
        <v>3</v>
      </c>
      <c r="J9" s="603">
        <v>3</v>
      </c>
      <c r="K9" s="603">
        <v>2</v>
      </c>
      <c r="L9" s="495"/>
    </row>
    <row r="10" spans="2:12" ht="150" customHeight="1" x14ac:dyDescent="0.15">
      <c r="B10" s="887" t="s">
        <v>558</v>
      </c>
      <c r="C10" s="888"/>
      <c r="D10" s="86" t="s">
        <v>559</v>
      </c>
      <c r="E10" s="86"/>
      <c r="F10" s="86" t="s">
        <v>715</v>
      </c>
      <c r="G10" s="497" t="s">
        <v>560</v>
      </c>
      <c r="H10" s="498"/>
      <c r="I10" s="497" t="s">
        <v>561</v>
      </c>
      <c r="J10" s="497" t="s">
        <v>451</v>
      </c>
      <c r="K10" s="499" t="s">
        <v>562</v>
      </c>
      <c r="L10" s="500"/>
    </row>
    <row r="11" spans="2:12" ht="150" customHeight="1" thickBot="1" x14ac:dyDescent="0.2">
      <c r="B11" s="885" t="s">
        <v>113</v>
      </c>
      <c r="C11" s="886"/>
      <c r="D11" s="682" t="s">
        <v>724</v>
      </c>
      <c r="E11" s="682" t="s">
        <v>725</v>
      </c>
      <c r="F11" s="682" t="s">
        <v>726</v>
      </c>
      <c r="G11" s="683" t="s">
        <v>727</v>
      </c>
      <c r="H11" s="683" t="s">
        <v>728</v>
      </c>
      <c r="I11" s="683" t="s">
        <v>729</v>
      </c>
      <c r="J11" s="683" t="s">
        <v>730</v>
      </c>
      <c r="K11" s="683" t="s">
        <v>731</v>
      </c>
      <c r="L11" s="684"/>
    </row>
    <row r="12" spans="2:12" ht="9.75" customHeight="1" x14ac:dyDescent="0.15">
      <c r="B12" s="75"/>
    </row>
  </sheetData>
  <mergeCells count="4">
    <mergeCell ref="B4:B9"/>
    <mergeCell ref="B3:C3"/>
    <mergeCell ref="B11:C11"/>
    <mergeCell ref="B10:C10"/>
  </mergeCells>
  <phoneticPr fontId="4"/>
  <pageMargins left="0.78740157480314965" right="0.78740157480314965" top="0.78740157480314965" bottom="0.78740157480314965" header="0.39370078740157483" footer="0.39370078740157483"/>
  <pageSetup paperSize="9" scale="72"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1"/>
  <sheetViews>
    <sheetView showZeros="0" zoomScale="75" zoomScaleNormal="75" zoomScaleSheetLayoutView="80" workbookViewId="0"/>
  </sheetViews>
  <sheetFormatPr defaultRowHeight="13.5" x14ac:dyDescent="0.15"/>
  <cols>
    <col min="1" max="1" width="1.625" style="43" customWidth="1"/>
    <col min="2" max="2" width="3.625" style="43" customWidth="1"/>
    <col min="3" max="3" width="15.625" style="43" customWidth="1"/>
    <col min="4" max="7" width="8.625" style="43" customWidth="1"/>
    <col min="8" max="8" width="1.625" style="154" customWidth="1"/>
    <col min="9" max="9" width="3.625" style="43" customWidth="1"/>
    <col min="10" max="10" width="15.625" style="43" customWidth="1"/>
    <col min="11" max="14" width="8.625" style="43" customWidth="1"/>
    <col min="15" max="15" width="3.5" style="43" customWidth="1"/>
    <col min="16" max="16" width="15.625" style="127" customWidth="1"/>
    <col min="17" max="17" width="8.625" style="43" customWidth="1"/>
    <col min="18" max="18" width="8.625" style="44" customWidth="1"/>
    <col min="19" max="21" width="8.625" style="43" customWidth="1"/>
    <col min="22" max="22" width="10.625" style="44" customWidth="1"/>
    <col min="23" max="245" width="9" style="43"/>
    <col min="246" max="246" width="1.375" style="43" customWidth="1"/>
    <col min="247" max="247" width="3.5" style="43" customWidth="1"/>
    <col min="248" max="248" width="22.125" style="43" customWidth="1"/>
    <col min="249" max="249" width="9.75" style="43" customWidth="1"/>
    <col min="250" max="250" width="7.375" style="43" customWidth="1"/>
    <col min="251" max="251" width="9" style="43"/>
    <col min="252" max="252" width="9.25" style="43" customWidth="1"/>
    <col min="253" max="253" width="3.5" style="43" customWidth="1"/>
    <col min="254" max="255" width="12.625" style="43" customWidth="1"/>
    <col min="256" max="256" width="9" style="43"/>
    <col min="257" max="257" width="7.75" style="43" customWidth="1"/>
    <col min="258" max="258" width="13.125" style="43" customWidth="1"/>
    <col min="259" max="259" width="6.125" style="43" customWidth="1"/>
    <col min="260" max="260" width="9.75" style="43" customWidth="1"/>
    <col min="261" max="261" width="1.375" style="43" customWidth="1"/>
    <col min="262" max="501" width="9" style="43"/>
    <col min="502" max="502" width="1.375" style="43" customWidth="1"/>
    <col min="503" max="503" width="3.5" style="43" customWidth="1"/>
    <col min="504" max="504" width="22.125" style="43" customWidth="1"/>
    <col min="505" max="505" width="9.75" style="43" customWidth="1"/>
    <col min="506" max="506" width="7.375" style="43" customWidth="1"/>
    <col min="507" max="507" width="9" style="43"/>
    <col min="508" max="508" width="9.25" style="43" customWidth="1"/>
    <col min="509" max="509" width="3.5" style="43" customWidth="1"/>
    <col min="510" max="511" width="12.625" style="43" customWidth="1"/>
    <col min="512" max="512" width="9" style="43"/>
    <col min="513" max="513" width="7.75" style="43" customWidth="1"/>
    <col min="514" max="514" width="13.125" style="43" customWidth="1"/>
    <col min="515" max="515" width="6.125" style="43" customWidth="1"/>
    <col min="516" max="516" width="9.75" style="43" customWidth="1"/>
    <col min="517" max="517" width="1.375" style="43" customWidth="1"/>
    <col min="518" max="757" width="9" style="43"/>
    <col min="758" max="758" width="1.375" style="43" customWidth="1"/>
    <col min="759" max="759" width="3.5" style="43" customWidth="1"/>
    <col min="760" max="760" width="22.125" style="43" customWidth="1"/>
    <col min="761" max="761" width="9.75" style="43" customWidth="1"/>
    <col min="762" max="762" width="7.375" style="43" customWidth="1"/>
    <col min="763" max="763" width="9" style="43"/>
    <col min="764" max="764" width="9.25" style="43" customWidth="1"/>
    <col min="765" max="765" width="3.5" style="43" customWidth="1"/>
    <col min="766" max="767" width="12.625" style="43" customWidth="1"/>
    <col min="768" max="768" width="9" style="43"/>
    <col min="769" max="769" width="7.75" style="43" customWidth="1"/>
    <col min="770" max="770" width="13.125" style="43" customWidth="1"/>
    <col min="771" max="771" width="6.125" style="43" customWidth="1"/>
    <col min="772" max="772" width="9.75" style="43" customWidth="1"/>
    <col min="773" max="773" width="1.375" style="43" customWidth="1"/>
    <col min="774" max="1013" width="9" style="43"/>
    <col min="1014" max="1014" width="1.375" style="43" customWidth="1"/>
    <col min="1015" max="1015" width="3.5" style="43" customWidth="1"/>
    <col min="1016" max="1016" width="22.125" style="43" customWidth="1"/>
    <col min="1017" max="1017" width="9.75" style="43" customWidth="1"/>
    <col min="1018" max="1018" width="7.375" style="43" customWidth="1"/>
    <col min="1019" max="1019" width="9" style="43"/>
    <col min="1020" max="1020" width="9.25" style="43" customWidth="1"/>
    <col min="1021" max="1021" width="3.5" style="43" customWidth="1"/>
    <col min="1022" max="1023" width="12.625" style="43" customWidth="1"/>
    <col min="1024" max="1024" width="9" style="43"/>
    <col min="1025" max="1025" width="7.75" style="43" customWidth="1"/>
    <col min="1026" max="1026" width="13.125" style="43" customWidth="1"/>
    <col min="1027" max="1027" width="6.125" style="43" customWidth="1"/>
    <col min="1028" max="1028" width="9.75" style="43" customWidth="1"/>
    <col min="1029" max="1029" width="1.375" style="43" customWidth="1"/>
    <col min="1030" max="1269" width="9" style="43"/>
    <col min="1270" max="1270" width="1.375" style="43" customWidth="1"/>
    <col min="1271" max="1271" width="3.5" style="43" customWidth="1"/>
    <col min="1272" max="1272" width="22.125" style="43" customWidth="1"/>
    <col min="1273" max="1273" width="9.75" style="43" customWidth="1"/>
    <col min="1274" max="1274" width="7.375" style="43" customWidth="1"/>
    <col min="1275" max="1275" width="9" style="43"/>
    <col min="1276" max="1276" width="9.25" style="43" customWidth="1"/>
    <col min="1277" max="1277" width="3.5" style="43" customWidth="1"/>
    <col min="1278" max="1279" width="12.625" style="43" customWidth="1"/>
    <col min="1280" max="1280" width="9" style="43"/>
    <col min="1281" max="1281" width="7.75" style="43" customWidth="1"/>
    <col min="1282" max="1282" width="13.125" style="43" customWidth="1"/>
    <col min="1283" max="1283" width="6.125" style="43" customWidth="1"/>
    <col min="1284" max="1284" width="9.75" style="43" customWidth="1"/>
    <col min="1285" max="1285" width="1.375" style="43" customWidth="1"/>
    <col min="1286" max="1525" width="9" style="43"/>
    <col min="1526" max="1526" width="1.375" style="43" customWidth="1"/>
    <col min="1527" max="1527" width="3.5" style="43" customWidth="1"/>
    <col min="1528" max="1528" width="22.125" style="43" customWidth="1"/>
    <col min="1529" max="1529" width="9.75" style="43" customWidth="1"/>
    <col min="1530" max="1530" width="7.375" style="43" customWidth="1"/>
    <col min="1531" max="1531" width="9" style="43"/>
    <col min="1532" max="1532" width="9.25" style="43" customWidth="1"/>
    <col min="1533" max="1533" width="3.5" style="43" customWidth="1"/>
    <col min="1534" max="1535" width="12.625" style="43" customWidth="1"/>
    <col min="1536" max="1536" width="9" style="43"/>
    <col min="1537" max="1537" width="7.75" style="43" customWidth="1"/>
    <col min="1538" max="1538" width="13.125" style="43" customWidth="1"/>
    <col min="1539" max="1539" width="6.125" style="43" customWidth="1"/>
    <col min="1540" max="1540" width="9.75" style="43" customWidth="1"/>
    <col min="1541" max="1541" width="1.375" style="43" customWidth="1"/>
    <col min="1542" max="1781" width="9" style="43"/>
    <col min="1782" max="1782" width="1.375" style="43" customWidth="1"/>
    <col min="1783" max="1783" width="3.5" style="43" customWidth="1"/>
    <col min="1784" max="1784" width="22.125" style="43" customWidth="1"/>
    <col min="1785" max="1785" width="9.75" style="43" customWidth="1"/>
    <col min="1786" max="1786" width="7.375" style="43" customWidth="1"/>
    <col min="1787" max="1787" width="9" style="43"/>
    <col min="1788" max="1788" width="9.25" style="43" customWidth="1"/>
    <col min="1789" max="1789" width="3.5" style="43" customWidth="1"/>
    <col min="1790" max="1791" width="12.625" style="43" customWidth="1"/>
    <col min="1792" max="1792" width="9" style="43"/>
    <col min="1793" max="1793" width="7.75" style="43" customWidth="1"/>
    <col min="1794" max="1794" width="13.125" style="43" customWidth="1"/>
    <col min="1795" max="1795" width="6.125" style="43" customWidth="1"/>
    <col min="1796" max="1796" width="9.75" style="43" customWidth="1"/>
    <col min="1797" max="1797" width="1.375" style="43" customWidth="1"/>
    <col min="1798" max="2037" width="9" style="43"/>
    <col min="2038" max="2038" width="1.375" style="43" customWidth="1"/>
    <col min="2039" max="2039" width="3.5" style="43" customWidth="1"/>
    <col min="2040" max="2040" width="22.125" style="43" customWidth="1"/>
    <col min="2041" max="2041" width="9.75" style="43" customWidth="1"/>
    <col min="2042" max="2042" width="7.375" style="43" customWidth="1"/>
    <col min="2043" max="2043" width="9" style="43"/>
    <col min="2044" max="2044" width="9.25" style="43" customWidth="1"/>
    <col min="2045" max="2045" width="3.5" style="43" customWidth="1"/>
    <col min="2046" max="2047" width="12.625" style="43" customWidth="1"/>
    <col min="2048" max="2048" width="9" style="43"/>
    <col min="2049" max="2049" width="7.75" style="43" customWidth="1"/>
    <col min="2050" max="2050" width="13.125" style="43" customWidth="1"/>
    <col min="2051" max="2051" width="6.125" style="43" customWidth="1"/>
    <col min="2052" max="2052" width="9.75" style="43" customWidth="1"/>
    <col min="2053" max="2053" width="1.375" style="43" customWidth="1"/>
    <col min="2054" max="2293" width="9" style="43"/>
    <col min="2294" max="2294" width="1.375" style="43" customWidth="1"/>
    <col min="2295" max="2295" width="3.5" style="43" customWidth="1"/>
    <col min="2296" max="2296" width="22.125" style="43" customWidth="1"/>
    <col min="2297" max="2297" width="9.75" style="43" customWidth="1"/>
    <col min="2298" max="2298" width="7.375" style="43" customWidth="1"/>
    <col min="2299" max="2299" width="9" style="43"/>
    <col min="2300" max="2300" width="9.25" style="43" customWidth="1"/>
    <col min="2301" max="2301" width="3.5" style="43" customWidth="1"/>
    <col min="2302" max="2303" width="12.625" style="43" customWidth="1"/>
    <col min="2304" max="2304" width="9" style="43"/>
    <col min="2305" max="2305" width="7.75" style="43" customWidth="1"/>
    <col min="2306" max="2306" width="13.125" style="43" customWidth="1"/>
    <col min="2307" max="2307" width="6.125" style="43" customWidth="1"/>
    <col min="2308" max="2308" width="9.75" style="43" customWidth="1"/>
    <col min="2309" max="2309" width="1.375" style="43" customWidth="1"/>
    <col min="2310" max="2549" width="9" style="43"/>
    <col min="2550" max="2550" width="1.375" style="43" customWidth="1"/>
    <col min="2551" max="2551" width="3.5" style="43" customWidth="1"/>
    <col min="2552" max="2552" width="22.125" style="43" customWidth="1"/>
    <col min="2553" max="2553" width="9.75" style="43" customWidth="1"/>
    <col min="2554" max="2554" width="7.375" style="43" customWidth="1"/>
    <col min="2555" max="2555" width="9" style="43"/>
    <col min="2556" max="2556" width="9.25" style="43" customWidth="1"/>
    <col min="2557" max="2557" width="3.5" style="43" customWidth="1"/>
    <col min="2558" max="2559" width="12.625" style="43" customWidth="1"/>
    <col min="2560" max="2560" width="9" style="43"/>
    <col min="2561" max="2561" width="7.75" style="43" customWidth="1"/>
    <col min="2562" max="2562" width="13.125" style="43" customWidth="1"/>
    <col min="2563" max="2563" width="6.125" style="43" customWidth="1"/>
    <col min="2564" max="2564" width="9.75" style="43" customWidth="1"/>
    <col min="2565" max="2565" width="1.375" style="43" customWidth="1"/>
    <col min="2566" max="2805" width="9" style="43"/>
    <col min="2806" max="2806" width="1.375" style="43" customWidth="1"/>
    <col min="2807" max="2807" width="3.5" style="43" customWidth="1"/>
    <col min="2808" max="2808" width="22.125" style="43" customWidth="1"/>
    <col min="2809" max="2809" width="9.75" style="43" customWidth="1"/>
    <col min="2810" max="2810" width="7.375" style="43" customWidth="1"/>
    <col min="2811" max="2811" width="9" style="43"/>
    <col min="2812" max="2812" width="9.25" style="43" customWidth="1"/>
    <col min="2813" max="2813" width="3.5" style="43" customWidth="1"/>
    <col min="2814" max="2815" width="12.625" style="43" customWidth="1"/>
    <col min="2816" max="2816" width="9" style="43"/>
    <col min="2817" max="2817" width="7.75" style="43" customWidth="1"/>
    <col min="2818" max="2818" width="13.125" style="43" customWidth="1"/>
    <col min="2819" max="2819" width="6.125" style="43" customWidth="1"/>
    <col min="2820" max="2820" width="9.75" style="43" customWidth="1"/>
    <col min="2821" max="2821" width="1.375" style="43" customWidth="1"/>
    <col min="2822" max="3061" width="9" style="43"/>
    <col min="3062" max="3062" width="1.375" style="43" customWidth="1"/>
    <col min="3063" max="3063" width="3.5" style="43" customWidth="1"/>
    <col min="3064" max="3064" width="22.125" style="43" customWidth="1"/>
    <col min="3065" max="3065" width="9.75" style="43" customWidth="1"/>
    <col min="3066" max="3066" width="7.375" style="43" customWidth="1"/>
    <col min="3067" max="3067" width="9" style="43"/>
    <col min="3068" max="3068" width="9.25" style="43" customWidth="1"/>
    <col min="3069" max="3069" width="3.5" style="43" customWidth="1"/>
    <col min="3070" max="3071" width="12.625" style="43" customWidth="1"/>
    <col min="3072" max="3072" width="9" style="43"/>
    <col min="3073" max="3073" width="7.75" style="43" customWidth="1"/>
    <col min="3074" max="3074" width="13.125" style="43" customWidth="1"/>
    <col min="3075" max="3075" width="6.125" style="43" customWidth="1"/>
    <col min="3076" max="3076" width="9.75" style="43" customWidth="1"/>
    <col min="3077" max="3077" width="1.375" style="43" customWidth="1"/>
    <col min="3078" max="3317" width="9" style="43"/>
    <col min="3318" max="3318" width="1.375" style="43" customWidth="1"/>
    <col min="3319" max="3319" width="3.5" style="43" customWidth="1"/>
    <col min="3320" max="3320" width="22.125" style="43" customWidth="1"/>
    <col min="3321" max="3321" width="9.75" style="43" customWidth="1"/>
    <col min="3322" max="3322" width="7.375" style="43" customWidth="1"/>
    <col min="3323" max="3323" width="9" style="43"/>
    <col min="3324" max="3324" width="9.25" style="43" customWidth="1"/>
    <col min="3325" max="3325" width="3.5" style="43" customWidth="1"/>
    <col min="3326" max="3327" width="12.625" style="43" customWidth="1"/>
    <col min="3328" max="3328" width="9" style="43"/>
    <col min="3329" max="3329" width="7.75" style="43" customWidth="1"/>
    <col min="3330" max="3330" width="13.125" style="43" customWidth="1"/>
    <col min="3331" max="3331" width="6.125" style="43" customWidth="1"/>
    <col min="3332" max="3332" width="9.75" style="43" customWidth="1"/>
    <col min="3333" max="3333" width="1.375" style="43" customWidth="1"/>
    <col min="3334" max="3573" width="9" style="43"/>
    <col min="3574" max="3574" width="1.375" style="43" customWidth="1"/>
    <col min="3575" max="3575" width="3.5" style="43" customWidth="1"/>
    <col min="3576" max="3576" width="22.125" style="43" customWidth="1"/>
    <col min="3577" max="3577" width="9.75" style="43" customWidth="1"/>
    <col min="3578" max="3578" width="7.375" style="43" customWidth="1"/>
    <col min="3579" max="3579" width="9" style="43"/>
    <col min="3580" max="3580" width="9.25" style="43" customWidth="1"/>
    <col min="3581" max="3581" width="3.5" style="43" customWidth="1"/>
    <col min="3582" max="3583" width="12.625" style="43" customWidth="1"/>
    <col min="3584" max="3584" width="9" style="43"/>
    <col min="3585" max="3585" width="7.75" style="43" customWidth="1"/>
    <col min="3586" max="3586" width="13.125" style="43" customWidth="1"/>
    <col min="3587" max="3587" width="6.125" style="43" customWidth="1"/>
    <col min="3588" max="3588" width="9.75" style="43" customWidth="1"/>
    <col min="3589" max="3589" width="1.375" style="43" customWidth="1"/>
    <col min="3590" max="3829" width="9" style="43"/>
    <col min="3830" max="3830" width="1.375" style="43" customWidth="1"/>
    <col min="3831" max="3831" width="3.5" style="43" customWidth="1"/>
    <col min="3832" max="3832" width="22.125" style="43" customWidth="1"/>
    <col min="3833" max="3833" width="9.75" style="43" customWidth="1"/>
    <col min="3834" max="3834" width="7.375" style="43" customWidth="1"/>
    <col min="3835" max="3835" width="9" style="43"/>
    <col min="3836" max="3836" width="9.25" style="43" customWidth="1"/>
    <col min="3837" max="3837" width="3.5" style="43" customWidth="1"/>
    <col min="3838" max="3839" width="12.625" style="43" customWidth="1"/>
    <col min="3840" max="3840" width="9" style="43"/>
    <col min="3841" max="3841" width="7.75" style="43" customWidth="1"/>
    <col min="3842" max="3842" width="13.125" style="43" customWidth="1"/>
    <col min="3843" max="3843" width="6.125" style="43" customWidth="1"/>
    <col min="3844" max="3844" width="9.75" style="43" customWidth="1"/>
    <col min="3845" max="3845" width="1.375" style="43" customWidth="1"/>
    <col min="3846" max="4085" width="9" style="43"/>
    <col min="4086" max="4086" width="1.375" style="43" customWidth="1"/>
    <col min="4087" max="4087" width="3.5" style="43" customWidth="1"/>
    <col min="4088" max="4088" width="22.125" style="43" customWidth="1"/>
    <col min="4089" max="4089" width="9.75" style="43" customWidth="1"/>
    <col min="4090" max="4090" width="7.375" style="43" customWidth="1"/>
    <col min="4091" max="4091" width="9" style="43"/>
    <col min="4092" max="4092" width="9.25" style="43" customWidth="1"/>
    <col min="4093" max="4093" width="3.5" style="43" customWidth="1"/>
    <col min="4094" max="4095" width="12.625" style="43" customWidth="1"/>
    <col min="4096" max="4096" width="9" style="43"/>
    <col min="4097" max="4097" width="7.75" style="43" customWidth="1"/>
    <col min="4098" max="4098" width="13.125" style="43" customWidth="1"/>
    <col min="4099" max="4099" width="6.125" style="43" customWidth="1"/>
    <col min="4100" max="4100" width="9.75" style="43" customWidth="1"/>
    <col min="4101" max="4101" width="1.375" style="43" customWidth="1"/>
    <col min="4102" max="4341" width="9" style="43"/>
    <col min="4342" max="4342" width="1.375" style="43" customWidth="1"/>
    <col min="4343" max="4343" width="3.5" style="43" customWidth="1"/>
    <col min="4344" max="4344" width="22.125" style="43" customWidth="1"/>
    <col min="4345" max="4345" width="9.75" style="43" customWidth="1"/>
    <col min="4346" max="4346" width="7.375" style="43" customWidth="1"/>
    <col min="4347" max="4347" width="9" style="43"/>
    <col min="4348" max="4348" width="9.25" style="43" customWidth="1"/>
    <col min="4349" max="4349" width="3.5" style="43" customWidth="1"/>
    <col min="4350" max="4351" width="12.625" style="43" customWidth="1"/>
    <col min="4352" max="4352" width="9" style="43"/>
    <col min="4353" max="4353" width="7.75" style="43" customWidth="1"/>
    <col min="4354" max="4354" width="13.125" style="43" customWidth="1"/>
    <col min="4355" max="4355" width="6.125" style="43" customWidth="1"/>
    <col min="4356" max="4356" width="9.75" style="43" customWidth="1"/>
    <col min="4357" max="4357" width="1.375" style="43" customWidth="1"/>
    <col min="4358" max="4597" width="9" style="43"/>
    <col min="4598" max="4598" width="1.375" style="43" customWidth="1"/>
    <col min="4599" max="4599" width="3.5" style="43" customWidth="1"/>
    <col min="4600" max="4600" width="22.125" style="43" customWidth="1"/>
    <col min="4601" max="4601" width="9.75" style="43" customWidth="1"/>
    <col min="4602" max="4602" width="7.375" style="43" customWidth="1"/>
    <col min="4603" max="4603" width="9" style="43"/>
    <col min="4604" max="4604" width="9.25" style="43" customWidth="1"/>
    <col min="4605" max="4605" width="3.5" style="43" customWidth="1"/>
    <col min="4606" max="4607" width="12.625" style="43" customWidth="1"/>
    <col min="4608" max="4608" width="9" style="43"/>
    <col min="4609" max="4609" width="7.75" style="43" customWidth="1"/>
    <col min="4610" max="4610" width="13.125" style="43" customWidth="1"/>
    <col min="4611" max="4611" width="6.125" style="43" customWidth="1"/>
    <col min="4612" max="4612" width="9.75" style="43" customWidth="1"/>
    <col min="4613" max="4613" width="1.375" style="43" customWidth="1"/>
    <col min="4614" max="4853" width="9" style="43"/>
    <col min="4854" max="4854" width="1.375" style="43" customWidth="1"/>
    <col min="4855" max="4855" width="3.5" style="43" customWidth="1"/>
    <col min="4856" max="4856" width="22.125" style="43" customWidth="1"/>
    <col min="4857" max="4857" width="9.75" style="43" customWidth="1"/>
    <col min="4858" max="4858" width="7.375" style="43" customWidth="1"/>
    <col min="4859" max="4859" width="9" style="43"/>
    <col min="4860" max="4860" width="9.25" style="43" customWidth="1"/>
    <col min="4861" max="4861" width="3.5" style="43" customWidth="1"/>
    <col min="4862" max="4863" width="12.625" style="43" customWidth="1"/>
    <col min="4864" max="4864" width="9" style="43"/>
    <col min="4865" max="4865" width="7.75" style="43" customWidth="1"/>
    <col min="4866" max="4866" width="13.125" style="43" customWidth="1"/>
    <col min="4867" max="4867" width="6.125" style="43" customWidth="1"/>
    <col min="4868" max="4868" width="9.75" style="43" customWidth="1"/>
    <col min="4869" max="4869" width="1.375" style="43" customWidth="1"/>
    <col min="4870" max="5109" width="9" style="43"/>
    <col min="5110" max="5110" width="1.375" style="43" customWidth="1"/>
    <col min="5111" max="5111" width="3.5" style="43" customWidth="1"/>
    <col min="5112" max="5112" width="22.125" style="43" customWidth="1"/>
    <col min="5113" max="5113" width="9.75" style="43" customWidth="1"/>
    <col min="5114" max="5114" width="7.375" style="43" customWidth="1"/>
    <col min="5115" max="5115" width="9" style="43"/>
    <col min="5116" max="5116" width="9.25" style="43" customWidth="1"/>
    <col min="5117" max="5117" width="3.5" style="43" customWidth="1"/>
    <col min="5118" max="5119" width="12.625" style="43" customWidth="1"/>
    <col min="5120" max="5120" width="9" style="43"/>
    <col min="5121" max="5121" width="7.75" style="43" customWidth="1"/>
    <col min="5122" max="5122" width="13.125" style="43" customWidth="1"/>
    <col min="5123" max="5123" width="6.125" style="43" customWidth="1"/>
    <col min="5124" max="5124" width="9.75" style="43" customWidth="1"/>
    <col min="5125" max="5125" width="1.375" style="43" customWidth="1"/>
    <col min="5126" max="5365" width="9" style="43"/>
    <col min="5366" max="5366" width="1.375" style="43" customWidth="1"/>
    <col min="5367" max="5367" width="3.5" style="43" customWidth="1"/>
    <col min="5368" max="5368" width="22.125" style="43" customWidth="1"/>
    <col min="5369" max="5369" width="9.75" style="43" customWidth="1"/>
    <col min="5370" max="5370" width="7.375" style="43" customWidth="1"/>
    <col min="5371" max="5371" width="9" style="43"/>
    <col min="5372" max="5372" width="9.25" style="43" customWidth="1"/>
    <col min="5373" max="5373" width="3.5" style="43" customWidth="1"/>
    <col min="5374" max="5375" width="12.625" style="43" customWidth="1"/>
    <col min="5376" max="5376" width="9" style="43"/>
    <col min="5377" max="5377" width="7.75" style="43" customWidth="1"/>
    <col min="5378" max="5378" width="13.125" style="43" customWidth="1"/>
    <col min="5379" max="5379" width="6.125" style="43" customWidth="1"/>
    <col min="5380" max="5380" width="9.75" style="43" customWidth="1"/>
    <col min="5381" max="5381" width="1.375" style="43" customWidth="1"/>
    <col min="5382" max="5621" width="9" style="43"/>
    <col min="5622" max="5622" width="1.375" style="43" customWidth="1"/>
    <col min="5623" max="5623" width="3.5" style="43" customWidth="1"/>
    <col min="5624" max="5624" width="22.125" style="43" customWidth="1"/>
    <col min="5625" max="5625" width="9.75" style="43" customWidth="1"/>
    <col min="5626" max="5626" width="7.375" style="43" customWidth="1"/>
    <col min="5627" max="5627" width="9" style="43"/>
    <col min="5628" max="5628" width="9.25" style="43" customWidth="1"/>
    <col min="5629" max="5629" width="3.5" style="43" customWidth="1"/>
    <col min="5630" max="5631" width="12.625" style="43" customWidth="1"/>
    <col min="5632" max="5632" width="9" style="43"/>
    <col min="5633" max="5633" width="7.75" style="43" customWidth="1"/>
    <col min="5634" max="5634" width="13.125" style="43" customWidth="1"/>
    <col min="5635" max="5635" width="6.125" style="43" customWidth="1"/>
    <col min="5636" max="5636" width="9.75" style="43" customWidth="1"/>
    <col min="5637" max="5637" width="1.375" style="43" customWidth="1"/>
    <col min="5638" max="5877" width="9" style="43"/>
    <col min="5878" max="5878" width="1.375" style="43" customWidth="1"/>
    <col min="5879" max="5879" width="3.5" style="43" customWidth="1"/>
    <col min="5880" max="5880" width="22.125" style="43" customWidth="1"/>
    <col min="5881" max="5881" width="9.75" style="43" customWidth="1"/>
    <col min="5882" max="5882" width="7.375" style="43" customWidth="1"/>
    <col min="5883" max="5883" width="9" style="43"/>
    <col min="5884" max="5884" width="9.25" style="43" customWidth="1"/>
    <col min="5885" max="5885" width="3.5" style="43" customWidth="1"/>
    <col min="5886" max="5887" width="12.625" style="43" customWidth="1"/>
    <col min="5888" max="5888" width="9" style="43"/>
    <col min="5889" max="5889" width="7.75" style="43" customWidth="1"/>
    <col min="5890" max="5890" width="13.125" style="43" customWidth="1"/>
    <col min="5891" max="5891" width="6.125" style="43" customWidth="1"/>
    <col min="5892" max="5892" width="9.75" style="43" customWidth="1"/>
    <col min="5893" max="5893" width="1.375" style="43" customWidth="1"/>
    <col min="5894" max="6133" width="9" style="43"/>
    <col min="6134" max="6134" width="1.375" style="43" customWidth="1"/>
    <col min="6135" max="6135" width="3.5" style="43" customWidth="1"/>
    <col min="6136" max="6136" width="22.125" style="43" customWidth="1"/>
    <col min="6137" max="6137" width="9.75" style="43" customWidth="1"/>
    <col min="6138" max="6138" width="7.375" style="43" customWidth="1"/>
    <col min="6139" max="6139" width="9" style="43"/>
    <col min="6140" max="6140" width="9.25" style="43" customWidth="1"/>
    <col min="6141" max="6141" width="3.5" style="43" customWidth="1"/>
    <col min="6142" max="6143" width="12.625" style="43" customWidth="1"/>
    <col min="6144" max="6144" width="9" style="43"/>
    <col min="6145" max="6145" width="7.75" style="43" customWidth="1"/>
    <col min="6146" max="6146" width="13.125" style="43" customWidth="1"/>
    <col min="6147" max="6147" width="6.125" style="43" customWidth="1"/>
    <col min="6148" max="6148" width="9.75" style="43" customWidth="1"/>
    <col min="6149" max="6149" width="1.375" style="43" customWidth="1"/>
    <col min="6150" max="6389" width="9" style="43"/>
    <col min="6390" max="6390" width="1.375" style="43" customWidth="1"/>
    <col min="6391" max="6391" width="3.5" style="43" customWidth="1"/>
    <col min="6392" max="6392" width="22.125" style="43" customWidth="1"/>
    <col min="6393" max="6393" width="9.75" style="43" customWidth="1"/>
    <col min="6394" max="6394" width="7.375" style="43" customWidth="1"/>
    <col min="6395" max="6395" width="9" style="43"/>
    <col min="6396" max="6396" width="9.25" style="43" customWidth="1"/>
    <col min="6397" max="6397" width="3.5" style="43" customWidth="1"/>
    <col min="6398" max="6399" width="12.625" style="43" customWidth="1"/>
    <col min="6400" max="6400" width="9" style="43"/>
    <col min="6401" max="6401" width="7.75" style="43" customWidth="1"/>
    <col min="6402" max="6402" width="13.125" style="43" customWidth="1"/>
    <col min="6403" max="6403" width="6.125" style="43" customWidth="1"/>
    <col min="6404" max="6404" width="9.75" style="43" customWidth="1"/>
    <col min="6405" max="6405" width="1.375" style="43" customWidth="1"/>
    <col min="6406" max="6645" width="9" style="43"/>
    <col min="6646" max="6646" width="1.375" style="43" customWidth="1"/>
    <col min="6647" max="6647" width="3.5" style="43" customWidth="1"/>
    <col min="6648" max="6648" width="22.125" style="43" customWidth="1"/>
    <col min="6649" max="6649" width="9.75" style="43" customWidth="1"/>
    <col min="6650" max="6650" width="7.375" style="43" customWidth="1"/>
    <col min="6651" max="6651" width="9" style="43"/>
    <col min="6652" max="6652" width="9.25" style="43" customWidth="1"/>
    <col min="6653" max="6653" width="3.5" style="43" customWidth="1"/>
    <col min="6654" max="6655" width="12.625" style="43" customWidth="1"/>
    <col min="6656" max="6656" width="9" style="43"/>
    <col min="6657" max="6657" width="7.75" style="43" customWidth="1"/>
    <col min="6658" max="6658" width="13.125" style="43" customWidth="1"/>
    <col min="6659" max="6659" width="6.125" style="43" customWidth="1"/>
    <col min="6660" max="6660" width="9.75" style="43" customWidth="1"/>
    <col min="6661" max="6661" width="1.375" style="43" customWidth="1"/>
    <col min="6662" max="6901" width="9" style="43"/>
    <col min="6902" max="6902" width="1.375" style="43" customWidth="1"/>
    <col min="6903" max="6903" width="3.5" style="43" customWidth="1"/>
    <col min="6904" max="6904" width="22.125" style="43" customWidth="1"/>
    <col min="6905" max="6905" width="9.75" style="43" customWidth="1"/>
    <col min="6906" max="6906" width="7.375" style="43" customWidth="1"/>
    <col min="6907" max="6907" width="9" style="43"/>
    <col min="6908" max="6908" width="9.25" style="43" customWidth="1"/>
    <col min="6909" max="6909" width="3.5" style="43" customWidth="1"/>
    <col min="6910" max="6911" width="12.625" style="43" customWidth="1"/>
    <col min="6912" max="6912" width="9" style="43"/>
    <col min="6913" max="6913" width="7.75" style="43" customWidth="1"/>
    <col min="6914" max="6914" width="13.125" style="43" customWidth="1"/>
    <col min="6915" max="6915" width="6.125" style="43" customWidth="1"/>
    <col min="6916" max="6916" width="9.75" style="43" customWidth="1"/>
    <col min="6917" max="6917" width="1.375" style="43" customWidth="1"/>
    <col min="6918" max="7157" width="9" style="43"/>
    <col min="7158" max="7158" width="1.375" style="43" customWidth="1"/>
    <col min="7159" max="7159" width="3.5" style="43" customWidth="1"/>
    <col min="7160" max="7160" width="22.125" style="43" customWidth="1"/>
    <col min="7161" max="7161" width="9.75" style="43" customWidth="1"/>
    <col min="7162" max="7162" width="7.375" style="43" customWidth="1"/>
    <col min="7163" max="7163" width="9" style="43"/>
    <col min="7164" max="7164" width="9.25" style="43" customWidth="1"/>
    <col min="7165" max="7165" width="3.5" style="43" customWidth="1"/>
    <col min="7166" max="7167" width="12.625" style="43" customWidth="1"/>
    <col min="7168" max="7168" width="9" style="43"/>
    <col min="7169" max="7169" width="7.75" style="43" customWidth="1"/>
    <col min="7170" max="7170" width="13.125" style="43" customWidth="1"/>
    <col min="7171" max="7171" width="6.125" style="43" customWidth="1"/>
    <col min="7172" max="7172" width="9.75" style="43" customWidth="1"/>
    <col min="7173" max="7173" width="1.375" style="43" customWidth="1"/>
    <col min="7174" max="7413" width="9" style="43"/>
    <col min="7414" max="7414" width="1.375" style="43" customWidth="1"/>
    <col min="7415" max="7415" width="3.5" style="43" customWidth="1"/>
    <col min="7416" max="7416" width="22.125" style="43" customWidth="1"/>
    <col min="7417" max="7417" width="9.75" style="43" customWidth="1"/>
    <col min="7418" max="7418" width="7.375" style="43" customWidth="1"/>
    <col min="7419" max="7419" width="9" style="43"/>
    <col min="7420" max="7420" width="9.25" style="43" customWidth="1"/>
    <col min="7421" max="7421" width="3.5" style="43" customWidth="1"/>
    <col min="7422" max="7423" width="12.625" style="43" customWidth="1"/>
    <col min="7424" max="7424" width="9" style="43"/>
    <col min="7425" max="7425" width="7.75" style="43" customWidth="1"/>
    <col min="7426" max="7426" width="13.125" style="43" customWidth="1"/>
    <col min="7427" max="7427" width="6.125" style="43" customWidth="1"/>
    <col min="7428" max="7428" width="9.75" style="43" customWidth="1"/>
    <col min="7429" max="7429" width="1.375" style="43" customWidth="1"/>
    <col min="7430" max="7669" width="9" style="43"/>
    <col min="7670" max="7670" width="1.375" style="43" customWidth="1"/>
    <col min="7671" max="7671" width="3.5" style="43" customWidth="1"/>
    <col min="7672" max="7672" width="22.125" style="43" customWidth="1"/>
    <col min="7673" max="7673" width="9.75" style="43" customWidth="1"/>
    <col min="7674" max="7674" width="7.375" style="43" customWidth="1"/>
    <col min="7675" max="7675" width="9" style="43"/>
    <col min="7676" max="7676" width="9.25" style="43" customWidth="1"/>
    <col min="7677" max="7677" width="3.5" style="43" customWidth="1"/>
    <col min="7678" max="7679" width="12.625" style="43" customWidth="1"/>
    <col min="7680" max="7680" width="9" style="43"/>
    <col min="7681" max="7681" width="7.75" style="43" customWidth="1"/>
    <col min="7682" max="7682" width="13.125" style="43" customWidth="1"/>
    <col min="7683" max="7683" width="6.125" style="43" customWidth="1"/>
    <col min="7684" max="7684" width="9.75" style="43" customWidth="1"/>
    <col min="7685" max="7685" width="1.375" style="43" customWidth="1"/>
    <col min="7686" max="7925" width="9" style="43"/>
    <col min="7926" max="7926" width="1.375" style="43" customWidth="1"/>
    <col min="7927" max="7927" width="3.5" style="43" customWidth="1"/>
    <col min="7928" max="7928" width="22.125" style="43" customWidth="1"/>
    <col min="7929" max="7929" width="9.75" style="43" customWidth="1"/>
    <col min="7930" max="7930" width="7.375" style="43" customWidth="1"/>
    <col min="7931" max="7931" width="9" style="43"/>
    <col min="7932" max="7932" width="9.25" style="43" customWidth="1"/>
    <col min="7933" max="7933" width="3.5" style="43" customWidth="1"/>
    <col min="7934" max="7935" width="12.625" style="43" customWidth="1"/>
    <col min="7936" max="7936" width="9" style="43"/>
    <col min="7937" max="7937" width="7.75" style="43" customWidth="1"/>
    <col min="7938" max="7938" width="13.125" style="43" customWidth="1"/>
    <col min="7939" max="7939" width="6.125" style="43" customWidth="1"/>
    <col min="7940" max="7940" width="9.75" style="43" customWidth="1"/>
    <col min="7941" max="7941" width="1.375" style="43" customWidth="1"/>
    <col min="7942" max="8181" width="9" style="43"/>
    <col min="8182" max="8182" width="1.375" style="43" customWidth="1"/>
    <col min="8183" max="8183" width="3.5" style="43" customWidth="1"/>
    <col min="8184" max="8184" width="22.125" style="43" customWidth="1"/>
    <col min="8185" max="8185" width="9.75" style="43" customWidth="1"/>
    <col min="8186" max="8186" width="7.375" style="43" customWidth="1"/>
    <col min="8187" max="8187" width="9" style="43"/>
    <col min="8188" max="8188" width="9.25" style="43" customWidth="1"/>
    <col min="8189" max="8189" width="3.5" style="43" customWidth="1"/>
    <col min="8190" max="8191" width="12.625" style="43" customWidth="1"/>
    <col min="8192" max="8192" width="9" style="43"/>
    <col min="8193" max="8193" width="7.75" style="43" customWidth="1"/>
    <col min="8194" max="8194" width="13.125" style="43" customWidth="1"/>
    <col min="8195" max="8195" width="6.125" style="43" customWidth="1"/>
    <col min="8196" max="8196" width="9.75" style="43" customWidth="1"/>
    <col min="8197" max="8197" width="1.375" style="43" customWidth="1"/>
    <col min="8198" max="8437" width="9" style="43"/>
    <col min="8438" max="8438" width="1.375" style="43" customWidth="1"/>
    <col min="8439" max="8439" width="3.5" style="43" customWidth="1"/>
    <col min="8440" max="8440" width="22.125" style="43" customWidth="1"/>
    <col min="8441" max="8441" width="9.75" style="43" customWidth="1"/>
    <col min="8442" max="8442" width="7.375" style="43" customWidth="1"/>
    <col min="8443" max="8443" width="9" style="43"/>
    <col min="8444" max="8444" width="9.25" style="43" customWidth="1"/>
    <col min="8445" max="8445" width="3.5" style="43" customWidth="1"/>
    <col min="8446" max="8447" width="12.625" style="43" customWidth="1"/>
    <col min="8448" max="8448" width="9" style="43"/>
    <col min="8449" max="8449" width="7.75" style="43" customWidth="1"/>
    <col min="8450" max="8450" width="13.125" style="43" customWidth="1"/>
    <col min="8451" max="8451" width="6.125" style="43" customWidth="1"/>
    <col min="8452" max="8452" width="9.75" style="43" customWidth="1"/>
    <col min="8453" max="8453" width="1.375" style="43" customWidth="1"/>
    <col min="8454" max="8693" width="9" style="43"/>
    <col min="8694" max="8694" width="1.375" style="43" customWidth="1"/>
    <col min="8695" max="8695" width="3.5" style="43" customWidth="1"/>
    <col min="8696" max="8696" width="22.125" style="43" customWidth="1"/>
    <col min="8697" max="8697" width="9.75" style="43" customWidth="1"/>
    <col min="8698" max="8698" width="7.375" style="43" customWidth="1"/>
    <col min="8699" max="8699" width="9" style="43"/>
    <col min="8700" max="8700" width="9.25" style="43" customWidth="1"/>
    <col min="8701" max="8701" width="3.5" style="43" customWidth="1"/>
    <col min="8702" max="8703" width="12.625" style="43" customWidth="1"/>
    <col min="8704" max="8704" width="9" style="43"/>
    <col min="8705" max="8705" width="7.75" style="43" customWidth="1"/>
    <col min="8706" max="8706" width="13.125" style="43" customWidth="1"/>
    <col min="8707" max="8707" width="6.125" style="43" customWidth="1"/>
    <col min="8708" max="8708" width="9.75" style="43" customWidth="1"/>
    <col min="8709" max="8709" width="1.375" style="43" customWidth="1"/>
    <col min="8710" max="8949" width="9" style="43"/>
    <col min="8950" max="8950" width="1.375" style="43" customWidth="1"/>
    <col min="8951" max="8951" width="3.5" style="43" customWidth="1"/>
    <col min="8952" max="8952" width="22.125" style="43" customWidth="1"/>
    <col min="8953" max="8953" width="9.75" style="43" customWidth="1"/>
    <col min="8954" max="8954" width="7.375" style="43" customWidth="1"/>
    <col min="8955" max="8955" width="9" style="43"/>
    <col min="8956" max="8956" width="9.25" style="43" customWidth="1"/>
    <col min="8957" max="8957" width="3.5" style="43" customWidth="1"/>
    <col min="8958" max="8959" width="12.625" style="43" customWidth="1"/>
    <col min="8960" max="8960" width="9" style="43"/>
    <col min="8961" max="8961" width="7.75" style="43" customWidth="1"/>
    <col min="8962" max="8962" width="13.125" style="43" customWidth="1"/>
    <col min="8963" max="8963" width="6.125" style="43" customWidth="1"/>
    <col min="8964" max="8964" width="9.75" style="43" customWidth="1"/>
    <col min="8965" max="8965" width="1.375" style="43" customWidth="1"/>
    <col min="8966" max="9205" width="9" style="43"/>
    <col min="9206" max="9206" width="1.375" style="43" customWidth="1"/>
    <col min="9207" max="9207" width="3.5" style="43" customWidth="1"/>
    <col min="9208" max="9208" width="22.125" style="43" customWidth="1"/>
    <col min="9209" max="9209" width="9.75" style="43" customWidth="1"/>
    <col min="9210" max="9210" width="7.375" style="43" customWidth="1"/>
    <col min="9211" max="9211" width="9" style="43"/>
    <col min="9212" max="9212" width="9.25" style="43" customWidth="1"/>
    <col min="9213" max="9213" width="3.5" style="43" customWidth="1"/>
    <col min="9214" max="9215" width="12.625" style="43" customWidth="1"/>
    <col min="9216" max="9216" width="9" style="43"/>
    <col min="9217" max="9217" width="7.75" style="43" customWidth="1"/>
    <col min="9218" max="9218" width="13.125" style="43" customWidth="1"/>
    <col min="9219" max="9219" width="6.125" style="43" customWidth="1"/>
    <col min="9220" max="9220" width="9.75" style="43" customWidth="1"/>
    <col min="9221" max="9221" width="1.375" style="43" customWidth="1"/>
    <col min="9222" max="9461" width="9" style="43"/>
    <col min="9462" max="9462" width="1.375" style="43" customWidth="1"/>
    <col min="9463" max="9463" width="3.5" style="43" customWidth="1"/>
    <col min="9464" max="9464" width="22.125" style="43" customWidth="1"/>
    <col min="9465" max="9465" width="9.75" style="43" customWidth="1"/>
    <col min="9466" max="9466" width="7.375" style="43" customWidth="1"/>
    <col min="9467" max="9467" width="9" style="43"/>
    <col min="9468" max="9468" width="9.25" style="43" customWidth="1"/>
    <col min="9469" max="9469" width="3.5" style="43" customWidth="1"/>
    <col min="9470" max="9471" width="12.625" style="43" customWidth="1"/>
    <col min="9472" max="9472" width="9" style="43"/>
    <col min="9473" max="9473" width="7.75" style="43" customWidth="1"/>
    <col min="9474" max="9474" width="13.125" style="43" customWidth="1"/>
    <col min="9475" max="9475" width="6.125" style="43" customWidth="1"/>
    <col min="9476" max="9476" width="9.75" style="43" customWidth="1"/>
    <col min="9477" max="9477" width="1.375" style="43" customWidth="1"/>
    <col min="9478" max="9717" width="9" style="43"/>
    <col min="9718" max="9718" width="1.375" style="43" customWidth="1"/>
    <col min="9719" max="9719" width="3.5" style="43" customWidth="1"/>
    <col min="9720" max="9720" width="22.125" style="43" customWidth="1"/>
    <col min="9721" max="9721" width="9.75" style="43" customWidth="1"/>
    <col min="9722" max="9722" width="7.375" style="43" customWidth="1"/>
    <col min="9723" max="9723" width="9" style="43"/>
    <col min="9724" max="9724" width="9.25" style="43" customWidth="1"/>
    <col min="9725" max="9725" width="3.5" style="43" customWidth="1"/>
    <col min="9726" max="9727" width="12.625" style="43" customWidth="1"/>
    <col min="9728" max="9728" width="9" style="43"/>
    <col min="9729" max="9729" width="7.75" style="43" customWidth="1"/>
    <col min="9730" max="9730" width="13.125" style="43" customWidth="1"/>
    <col min="9731" max="9731" width="6.125" style="43" customWidth="1"/>
    <col min="9732" max="9732" width="9.75" style="43" customWidth="1"/>
    <col min="9733" max="9733" width="1.375" style="43" customWidth="1"/>
    <col min="9734" max="9973" width="9" style="43"/>
    <col min="9974" max="9974" width="1.375" style="43" customWidth="1"/>
    <col min="9975" max="9975" width="3.5" style="43" customWidth="1"/>
    <col min="9976" max="9976" width="22.125" style="43" customWidth="1"/>
    <col min="9977" max="9977" width="9.75" style="43" customWidth="1"/>
    <col min="9978" max="9978" width="7.375" style="43" customWidth="1"/>
    <col min="9979" max="9979" width="9" style="43"/>
    <col min="9980" max="9980" width="9.25" style="43" customWidth="1"/>
    <col min="9981" max="9981" width="3.5" style="43" customWidth="1"/>
    <col min="9982" max="9983" width="12.625" style="43" customWidth="1"/>
    <col min="9984" max="9984" width="9" style="43"/>
    <col min="9985" max="9985" width="7.75" style="43" customWidth="1"/>
    <col min="9986" max="9986" width="13.125" style="43" customWidth="1"/>
    <col min="9987" max="9987" width="6.125" style="43" customWidth="1"/>
    <col min="9988" max="9988" width="9.75" style="43" customWidth="1"/>
    <col min="9989" max="9989" width="1.375" style="43" customWidth="1"/>
    <col min="9990" max="10229" width="9" style="43"/>
    <col min="10230" max="10230" width="1.375" style="43" customWidth="1"/>
    <col min="10231" max="10231" width="3.5" style="43" customWidth="1"/>
    <col min="10232" max="10232" width="22.125" style="43" customWidth="1"/>
    <col min="10233" max="10233" width="9.75" style="43" customWidth="1"/>
    <col min="10234" max="10234" width="7.375" style="43" customWidth="1"/>
    <col min="10235" max="10235" width="9" style="43"/>
    <col min="10236" max="10236" width="9.25" style="43" customWidth="1"/>
    <col min="10237" max="10237" width="3.5" style="43" customWidth="1"/>
    <col min="10238" max="10239" width="12.625" style="43" customWidth="1"/>
    <col min="10240" max="10240" width="9" style="43"/>
    <col min="10241" max="10241" width="7.75" style="43" customWidth="1"/>
    <col min="10242" max="10242" width="13.125" style="43" customWidth="1"/>
    <col min="10243" max="10243" width="6.125" style="43" customWidth="1"/>
    <col min="10244" max="10244" width="9.75" style="43" customWidth="1"/>
    <col min="10245" max="10245" width="1.375" style="43" customWidth="1"/>
    <col min="10246" max="10485" width="9" style="43"/>
    <col min="10486" max="10486" width="1.375" style="43" customWidth="1"/>
    <col min="10487" max="10487" width="3.5" style="43" customWidth="1"/>
    <col min="10488" max="10488" width="22.125" style="43" customWidth="1"/>
    <col min="10489" max="10489" width="9.75" style="43" customWidth="1"/>
    <col min="10490" max="10490" width="7.375" style="43" customWidth="1"/>
    <col min="10491" max="10491" width="9" style="43"/>
    <col min="10492" max="10492" width="9.25" style="43" customWidth="1"/>
    <col min="10493" max="10493" width="3.5" style="43" customWidth="1"/>
    <col min="10494" max="10495" width="12.625" style="43" customWidth="1"/>
    <col min="10496" max="10496" width="9" style="43"/>
    <col min="10497" max="10497" width="7.75" style="43" customWidth="1"/>
    <col min="10498" max="10498" width="13.125" style="43" customWidth="1"/>
    <col min="10499" max="10499" width="6.125" style="43" customWidth="1"/>
    <col min="10500" max="10500" width="9.75" style="43" customWidth="1"/>
    <col min="10501" max="10501" width="1.375" style="43" customWidth="1"/>
    <col min="10502" max="10741" width="9" style="43"/>
    <col min="10742" max="10742" width="1.375" style="43" customWidth="1"/>
    <col min="10743" max="10743" width="3.5" style="43" customWidth="1"/>
    <col min="10744" max="10744" width="22.125" style="43" customWidth="1"/>
    <col min="10745" max="10745" width="9.75" style="43" customWidth="1"/>
    <col min="10746" max="10746" width="7.375" style="43" customWidth="1"/>
    <col min="10747" max="10747" width="9" style="43"/>
    <col min="10748" max="10748" width="9.25" style="43" customWidth="1"/>
    <col min="10749" max="10749" width="3.5" style="43" customWidth="1"/>
    <col min="10750" max="10751" width="12.625" style="43" customWidth="1"/>
    <col min="10752" max="10752" width="9" style="43"/>
    <col min="10753" max="10753" width="7.75" style="43" customWidth="1"/>
    <col min="10754" max="10754" width="13.125" style="43" customWidth="1"/>
    <col min="10755" max="10755" width="6.125" style="43" customWidth="1"/>
    <col min="10756" max="10756" width="9.75" style="43" customWidth="1"/>
    <col min="10757" max="10757" width="1.375" style="43" customWidth="1"/>
    <col min="10758" max="10997" width="9" style="43"/>
    <col min="10998" max="10998" width="1.375" style="43" customWidth="1"/>
    <col min="10999" max="10999" width="3.5" style="43" customWidth="1"/>
    <col min="11000" max="11000" width="22.125" style="43" customWidth="1"/>
    <col min="11001" max="11001" width="9.75" style="43" customWidth="1"/>
    <col min="11002" max="11002" width="7.375" style="43" customWidth="1"/>
    <col min="11003" max="11003" width="9" style="43"/>
    <col min="11004" max="11004" width="9.25" style="43" customWidth="1"/>
    <col min="11005" max="11005" width="3.5" style="43" customWidth="1"/>
    <col min="11006" max="11007" width="12.625" style="43" customWidth="1"/>
    <col min="11008" max="11008" width="9" style="43"/>
    <col min="11009" max="11009" width="7.75" style="43" customWidth="1"/>
    <col min="11010" max="11010" width="13.125" style="43" customWidth="1"/>
    <col min="11011" max="11011" width="6.125" style="43" customWidth="1"/>
    <col min="11012" max="11012" width="9.75" style="43" customWidth="1"/>
    <col min="11013" max="11013" width="1.375" style="43" customWidth="1"/>
    <col min="11014" max="11253" width="9" style="43"/>
    <col min="11254" max="11254" width="1.375" style="43" customWidth="1"/>
    <col min="11255" max="11255" width="3.5" style="43" customWidth="1"/>
    <col min="11256" max="11256" width="22.125" style="43" customWidth="1"/>
    <col min="11257" max="11257" width="9.75" style="43" customWidth="1"/>
    <col min="11258" max="11258" width="7.375" style="43" customWidth="1"/>
    <col min="11259" max="11259" width="9" style="43"/>
    <col min="11260" max="11260" width="9.25" style="43" customWidth="1"/>
    <col min="11261" max="11261" width="3.5" style="43" customWidth="1"/>
    <col min="11262" max="11263" width="12.625" style="43" customWidth="1"/>
    <col min="11264" max="11264" width="9" style="43"/>
    <col min="11265" max="11265" width="7.75" style="43" customWidth="1"/>
    <col min="11266" max="11266" width="13.125" style="43" customWidth="1"/>
    <col min="11267" max="11267" width="6.125" style="43" customWidth="1"/>
    <col min="11268" max="11268" width="9.75" style="43" customWidth="1"/>
    <col min="11269" max="11269" width="1.375" style="43" customWidth="1"/>
    <col min="11270" max="11509" width="9" style="43"/>
    <col min="11510" max="11510" width="1.375" style="43" customWidth="1"/>
    <col min="11511" max="11511" width="3.5" style="43" customWidth="1"/>
    <col min="11512" max="11512" width="22.125" style="43" customWidth="1"/>
    <col min="11513" max="11513" width="9.75" style="43" customWidth="1"/>
    <col min="11514" max="11514" width="7.375" style="43" customWidth="1"/>
    <col min="11515" max="11515" width="9" style="43"/>
    <col min="11516" max="11516" width="9.25" style="43" customWidth="1"/>
    <col min="11517" max="11517" width="3.5" style="43" customWidth="1"/>
    <col min="11518" max="11519" width="12.625" style="43" customWidth="1"/>
    <col min="11520" max="11520" width="9" style="43"/>
    <col min="11521" max="11521" width="7.75" style="43" customWidth="1"/>
    <col min="11522" max="11522" width="13.125" style="43" customWidth="1"/>
    <col min="11523" max="11523" width="6.125" style="43" customWidth="1"/>
    <col min="11524" max="11524" width="9.75" style="43" customWidth="1"/>
    <col min="11525" max="11525" width="1.375" style="43" customWidth="1"/>
    <col min="11526" max="11765" width="9" style="43"/>
    <col min="11766" max="11766" width="1.375" style="43" customWidth="1"/>
    <col min="11767" max="11767" width="3.5" style="43" customWidth="1"/>
    <col min="11768" max="11768" width="22.125" style="43" customWidth="1"/>
    <col min="11769" max="11769" width="9.75" style="43" customWidth="1"/>
    <col min="11770" max="11770" width="7.375" style="43" customWidth="1"/>
    <col min="11771" max="11771" width="9" style="43"/>
    <col min="11772" max="11772" width="9.25" style="43" customWidth="1"/>
    <col min="11773" max="11773" width="3.5" style="43" customWidth="1"/>
    <col min="11774" max="11775" width="12.625" style="43" customWidth="1"/>
    <col min="11776" max="11776" width="9" style="43"/>
    <col min="11777" max="11777" width="7.75" style="43" customWidth="1"/>
    <col min="11778" max="11778" width="13.125" style="43" customWidth="1"/>
    <col min="11779" max="11779" width="6.125" style="43" customWidth="1"/>
    <col min="11780" max="11780" width="9.75" style="43" customWidth="1"/>
    <col min="11781" max="11781" width="1.375" style="43" customWidth="1"/>
    <col min="11782" max="12021" width="9" style="43"/>
    <col min="12022" max="12022" width="1.375" style="43" customWidth="1"/>
    <col min="12023" max="12023" width="3.5" style="43" customWidth="1"/>
    <col min="12024" max="12024" width="22.125" style="43" customWidth="1"/>
    <col min="12025" max="12025" width="9.75" style="43" customWidth="1"/>
    <col min="12026" max="12026" width="7.375" style="43" customWidth="1"/>
    <col min="12027" max="12027" width="9" style="43"/>
    <col min="12028" max="12028" width="9.25" style="43" customWidth="1"/>
    <col min="12029" max="12029" width="3.5" style="43" customWidth="1"/>
    <col min="12030" max="12031" width="12.625" style="43" customWidth="1"/>
    <col min="12032" max="12032" width="9" style="43"/>
    <col min="12033" max="12033" width="7.75" style="43" customWidth="1"/>
    <col min="12034" max="12034" width="13.125" style="43" customWidth="1"/>
    <col min="12035" max="12035" width="6.125" style="43" customWidth="1"/>
    <col min="12036" max="12036" width="9.75" style="43" customWidth="1"/>
    <col min="12037" max="12037" width="1.375" style="43" customWidth="1"/>
    <col min="12038" max="12277" width="9" style="43"/>
    <col min="12278" max="12278" width="1.375" style="43" customWidth="1"/>
    <col min="12279" max="12279" width="3.5" style="43" customWidth="1"/>
    <col min="12280" max="12280" width="22.125" style="43" customWidth="1"/>
    <col min="12281" max="12281" width="9.75" style="43" customWidth="1"/>
    <col min="12282" max="12282" width="7.375" style="43" customWidth="1"/>
    <col min="12283" max="12283" width="9" style="43"/>
    <col min="12284" max="12284" width="9.25" style="43" customWidth="1"/>
    <col min="12285" max="12285" width="3.5" style="43" customWidth="1"/>
    <col min="12286" max="12287" width="12.625" style="43" customWidth="1"/>
    <col min="12288" max="12288" width="9" style="43"/>
    <col min="12289" max="12289" width="7.75" style="43" customWidth="1"/>
    <col min="12290" max="12290" width="13.125" style="43" customWidth="1"/>
    <col min="12291" max="12291" width="6.125" style="43" customWidth="1"/>
    <col min="12292" max="12292" width="9.75" style="43" customWidth="1"/>
    <col min="12293" max="12293" width="1.375" style="43" customWidth="1"/>
    <col min="12294" max="12533" width="9" style="43"/>
    <col min="12534" max="12534" width="1.375" style="43" customWidth="1"/>
    <col min="12535" max="12535" width="3.5" style="43" customWidth="1"/>
    <col min="12536" max="12536" width="22.125" style="43" customWidth="1"/>
    <col min="12537" max="12537" width="9.75" style="43" customWidth="1"/>
    <col min="12538" max="12538" width="7.375" style="43" customWidth="1"/>
    <col min="12539" max="12539" width="9" style="43"/>
    <col min="12540" max="12540" width="9.25" style="43" customWidth="1"/>
    <col min="12541" max="12541" width="3.5" style="43" customWidth="1"/>
    <col min="12542" max="12543" width="12.625" style="43" customWidth="1"/>
    <col min="12544" max="12544" width="9" style="43"/>
    <col min="12545" max="12545" width="7.75" style="43" customWidth="1"/>
    <col min="12546" max="12546" width="13.125" style="43" customWidth="1"/>
    <col min="12547" max="12547" width="6.125" style="43" customWidth="1"/>
    <col min="12548" max="12548" width="9.75" style="43" customWidth="1"/>
    <col min="12549" max="12549" width="1.375" style="43" customWidth="1"/>
    <col min="12550" max="12789" width="9" style="43"/>
    <col min="12790" max="12790" width="1.375" style="43" customWidth="1"/>
    <col min="12791" max="12791" width="3.5" style="43" customWidth="1"/>
    <col min="12792" max="12792" width="22.125" style="43" customWidth="1"/>
    <col min="12793" max="12793" width="9.75" style="43" customWidth="1"/>
    <col min="12794" max="12794" width="7.375" style="43" customWidth="1"/>
    <col min="12795" max="12795" width="9" style="43"/>
    <col min="12796" max="12796" width="9.25" style="43" customWidth="1"/>
    <col min="12797" max="12797" width="3.5" style="43" customWidth="1"/>
    <col min="12798" max="12799" width="12.625" style="43" customWidth="1"/>
    <col min="12800" max="12800" width="9" style="43"/>
    <col min="12801" max="12801" width="7.75" style="43" customWidth="1"/>
    <col min="12802" max="12802" width="13.125" style="43" customWidth="1"/>
    <col min="12803" max="12803" width="6.125" style="43" customWidth="1"/>
    <col min="12804" max="12804" width="9.75" style="43" customWidth="1"/>
    <col min="12805" max="12805" width="1.375" style="43" customWidth="1"/>
    <col min="12806" max="13045" width="9" style="43"/>
    <col min="13046" max="13046" width="1.375" style="43" customWidth="1"/>
    <col min="13047" max="13047" width="3.5" style="43" customWidth="1"/>
    <col min="13048" max="13048" width="22.125" style="43" customWidth="1"/>
    <col min="13049" max="13049" width="9.75" style="43" customWidth="1"/>
    <col min="13050" max="13050" width="7.375" style="43" customWidth="1"/>
    <col min="13051" max="13051" width="9" style="43"/>
    <col min="13052" max="13052" width="9.25" style="43" customWidth="1"/>
    <col min="13053" max="13053" width="3.5" style="43" customWidth="1"/>
    <col min="13054" max="13055" width="12.625" style="43" customWidth="1"/>
    <col min="13056" max="13056" width="9" style="43"/>
    <col min="13057" max="13057" width="7.75" style="43" customWidth="1"/>
    <col min="13058" max="13058" width="13.125" style="43" customWidth="1"/>
    <col min="13059" max="13059" width="6.125" style="43" customWidth="1"/>
    <col min="13060" max="13060" width="9.75" style="43" customWidth="1"/>
    <col min="13061" max="13061" width="1.375" style="43" customWidth="1"/>
    <col min="13062" max="13301" width="9" style="43"/>
    <col min="13302" max="13302" width="1.375" style="43" customWidth="1"/>
    <col min="13303" max="13303" width="3.5" style="43" customWidth="1"/>
    <col min="13304" max="13304" width="22.125" style="43" customWidth="1"/>
    <col min="13305" max="13305" width="9.75" style="43" customWidth="1"/>
    <col min="13306" max="13306" width="7.375" style="43" customWidth="1"/>
    <col min="13307" max="13307" width="9" style="43"/>
    <col min="13308" max="13308" width="9.25" style="43" customWidth="1"/>
    <col min="13309" max="13309" width="3.5" style="43" customWidth="1"/>
    <col min="13310" max="13311" width="12.625" style="43" customWidth="1"/>
    <col min="13312" max="13312" width="9" style="43"/>
    <col min="13313" max="13313" width="7.75" style="43" customWidth="1"/>
    <col min="13314" max="13314" width="13.125" style="43" customWidth="1"/>
    <col min="13315" max="13315" width="6.125" style="43" customWidth="1"/>
    <col min="13316" max="13316" width="9.75" style="43" customWidth="1"/>
    <col min="13317" max="13317" width="1.375" style="43" customWidth="1"/>
    <col min="13318" max="13557" width="9" style="43"/>
    <col min="13558" max="13558" width="1.375" style="43" customWidth="1"/>
    <col min="13559" max="13559" width="3.5" style="43" customWidth="1"/>
    <col min="13560" max="13560" width="22.125" style="43" customWidth="1"/>
    <col min="13561" max="13561" width="9.75" style="43" customWidth="1"/>
    <col min="13562" max="13562" width="7.375" style="43" customWidth="1"/>
    <col min="13563" max="13563" width="9" style="43"/>
    <col min="13564" max="13564" width="9.25" style="43" customWidth="1"/>
    <col min="13565" max="13565" width="3.5" style="43" customWidth="1"/>
    <col min="13566" max="13567" width="12.625" style="43" customWidth="1"/>
    <col min="13568" max="13568" width="9" style="43"/>
    <col min="13569" max="13569" width="7.75" style="43" customWidth="1"/>
    <col min="13570" max="13570" width="13.125" style="43" customWidth="1"/>
    <col min="13571" max="13571" width="6.125" style="43" customWidth="1"/>
    <col min="13572" max="13572" width="9.75" style="43" customWidth="1"/>
    <col min="13573" max="13573" width="1.375" style="43" customWidth="1"/>
    <col min="13574" max="13813" width="9" style="43"/>
    <col min="13814" max="13814" width="1.375" style="43" customWidth="1"/>
    <col min="13815" max="13815" width="3.5" style="43" customWidth="1"/>
    <col min="13816" max="13816" width="22.125" style="43" customWidth="1"/>
    <col min="13817" max="13817" width="9.75" style="43" customWidth="1"/>
    <col min="13818" max="13818" width="7.375" style="43" customWidth="1"/>
    <col min="13819" max="13819" width="9" style="43"/>
    <col min="13820" max="13820" width="9.25" style="43" customWidth="1"/>
    <col min="13821" max="13821" width="3.5" style="43" customWidth="1"/>
    <col min="13822" max="13823" width="12.625" style="43" customWidth="1"/>
    <col min="13824" max="13824" width="9" style="43"/>
    <col min="13825" max="13825" width="7.75" style="43" customWidth="1"/>
    <col min="13826" max="13826" width="13.125" style="43" customWidth="1"/>
    <col min="13827" max="13827" width="6.125" style="43" customWidth="1"/>
    <col min="13828" max="13828" width="9.75" style="43" customWidth="1"/>
    <col min="13829" max="13829" width="1.375" style="43" customWidth="1"/>
    <col min="13830" max="14069" width="9" style="43"/>
    <col min="14070" max="14070" width="1.375" style="43" customWidth="1"/>
    <col min="14071" max="14071" width="3.5" style="43" customWidth="1"/>
    <col min="14072" max="14072" width="22.125" style="43" customWidth="1"/>
    <col min="14073" max="14073" width="9.75" style="43" customWidth="1"/>
    <col min="14074" max="14074" width="7.375" style="43" customWidth="1"/>
    <col min="14075" max="14075" width="9" style="43"/>
    <col min="14076" max="14076" width="9.25" style="43" customWidth="1"/>
    <col min="14077" max="14077" width="3.5" style="43" customWidth="1"/>
    <col min="14078" max="14079" width="12.625" style="43" customWidth="1"/>
    <col min="14080" max="14080" width="9" style="43"/>
    <col min="14081" max="14081" width="7.75" style="43" customWidth="1"/>
    <col min="14082" max="14082" width="13.125" style="43" customWidth="1"/>
    <col min="14083" max="14083" width="6.125" style="43" customWidth="1"/>
    <col min="14084" max="14084" width="9.75" style="43" customWidth="1"/>
    <col min="14085" max="14085" width="1.375" style="43" customWidth="1"/>
    <col min="14086" max="14325" width="9" style="43"/>
    <col min="14326" max="14326" width="1.375" style="43" customWidth="1"/>
    <col min="14327" max="14327" width="3.5" style="43" customWidth="1"/>
    <col min="14328" max="14328" width="22.125" style="43" customWidth="1"/>
    <col min="14329" max="14329" width="9.75" style="43" customWidth="1"/>
    <col min="14330" max="14330" width="7.375" style="43" customWidth="1"/>
    <col min="14331" max="14331" width="9" style="43"/>
    <col min="14332" max="14332" width="9.25" style="43" customWidth="1"/>
    <col min="14333" max="14333" width="3.5" style="43" customWidth="1"/>
    <col min="14334" max="14335" width="12.625" style="43" customWidth="1"/>
    <col min="14336" max="14336" width="9" style="43"/>
    <col min="14337" max="14337" width="7.75" style="43" customWidth="1"/>
    <col min="14338" max="14338" width="13.125" style="43" customWidth="1"/>
    <col min="14339" max="14339" width="6.125" style="43" customWidth="1"/>
    <col min="14340" max="14340" width="9.75" style="43" customWidth="1"/>
    <col min="14341" max="14341" width="1.375" style="43" customWidth="1"/>
    <col min="14342" max="14581" width="9" style="43"/>
    <col min="14582" max="14582" width="1.375" style="43" customWidth="1"/>
    <col min="14583" max="14583" width="3.5" style="43" customWidth="1"/>
    <col min="14584" max="14584" width="22.125" style="43" customWidth="1"/>
    <col min="14585" max="14585" width="9.75" style="43" customWidth="1"/>
    <col min="14586" max="14586" width="7.375" style="43" customWidth="1"/>
    <col min="14587" max="14587" width="9" style="43"/>
    <col min="14588" max="14588" width="9.25" style="43" customWidth="1"/>
    <col min="14589" max="14589" width="3.5" style="43" customWidth="1"/>
    <col min="14590" max="14591" width="12.625" style="43" customWidth="1"/>
    <col min="14592" max="14592" width="9" style="43"/>
    <col min="14593" max="14593" width="7.75" style="43" customWidth="1"/>
    <col min="14594" max="14594" width="13.125" style="43" customWidth="1"/>
    <col min="14595" max="14595" width="6.125" style="43" customWidth="1"/>
    <col min="14596" max="14596" width="9.75" style="43" customWidth="1"/>
    <col min="14597" max="14597" width="1.375" style="43" customWidth="1"/>
    <col min="14598" max="14837" width="9" style="43"/>
    <col min="14838" max="14838" width="1.375" style="43" customWidth="1"/>
    <col min="14839" max="14839" width="3.5" style="43" customWidth="1"/>
    <col min="14840" max="14840" width="22.125" style="43" customWidth="1"/>
    <col min="14841" max="14841" width="9.75" style="43" customWidth="1"/>
    <col min="14842" max="14842" width="7.375" style="43" customWidth="1"/>
    <col min="14843" max="14843" width="9" style="43"/>
    <col min="14844" max="14844" width="9.25" style="43" customWidth="1"/>
    <col min="14845" max="14845" width="3.5" style="43" customWidth="1"/>
    <col min="14846" max="14847" width="12.625" style="43" customWidth="1"/>
    <col min="14848" max="14848" width="9" style="43"/>
    <col min="14849" max="14849" width="7.75" style="43" customWidth="1"/>
    <col min="14850" max="14850" width="13.125" style="43" customWidth="1"/>
    <col min="14851" max="14851" width="6.125" style="43" customWidth="1"/>
    <col min="14852" max="14852" width="9.75" style="43" customWidth="1"/>
    <col min="14853" max="14853" width="1.375" style="43" customWidth="1"/>
    <col min="14854" max="15093" width="9" style="43"/>
    <col min="15094" max="15094" width="1.375" style="43" customWidth="1"/>
    <col min="15095" max="15095" width="3.5" style="43" customWidth="1"/>
    <col min="15096" max="15096" width="22.125" style="43" customWidth="1"/>
    <col min="15097" max="15097" width="9.75" style="43" customWidth="1"/>
    <col min="15098" max="15098" width="7.375" style="43" customWidth="1"/>
    <col min="15099" max="15099" width="9" style="43"/>
    <col min="15100" max="15100" width="9.25" style="43" customWidth="1"/>
    <col min="15101" max="15101" width="3.5" style="43" customWidth="1"/>
    <col min="15102" max="15103" width="12.625" style="43" customWidth="1"/>
    <col min="15104" max="15104" width="9" style="43"/>
    <col min="15105" max="15105" width="7.75" style="43" customWidth="1"/>
    <col min="15106" max="15106" width="13.125" style="43" customWidth="1"/>
    <col min="15107" max="15107" width="6.125" style="43" customWidth="1"/>
    <col min="15108" max="15108" width="9.75" style="43" customWidth="1"/>
    <col min="15109" max="15109" width="1.375" style="43" customWidth="1"/>
    <col min="15110" max="15349" width="9" style="43"/>
    <col min="15350" max="15350" width="1.375" style="43" customWidth="1"/>
    <col min="15351" max="15351" width="3.5" style="43" customWidth="1"/>
    <col min="15352" max="15352" width="22.125" style="43" customWidth="1"/>
    <col min="15353" max="15353" width="9.75" style="43" customWidth="1"/>
    <col min="15354" max="15354" width="7.375" style="43" customWidth="1"/>
    <col min="15355" max="15355" width="9" style="43"/>
    <col min="15356" max="15356" width="9.25" style="43" customWidth="1"/>
    <col min="15357" max="15357" width="3.5" style="43" customWidth="1"/>
    <col min="15358" max="15359" width="12.625" style="43" customWidth="1"/>
    <col min="15360" max="15360" width="9" style="43"/>
    <col min="15361" max="15361" width="7.75" style="43" customWidth="1"/>
    <col min="15362" max="15362" width="13.125" style="43" customWidth="1"/>
    <col min="15363" max="15363" width="6.125" style="43" customWidth="1"/>
    <col min="15364" max="15364" width="9.75" style="43" customWidth="1"/>
    <col min="15365" max="15365" width="1.375" style="43" customWidth="1"/>
    <col min="15366" max="15605" width="9" style="43"/>
    <col min="15606" max="15606" width="1.375" style="43" customWidth="1"/>
    <col min="15607" max="15607" width="3.5" style="43" customWidth="1"/>
    <col min="15608" max="15608" width="22.125" style="43" customWidth="1"/>
    <col min="15609" max="15609" width="9.75" style="43" customWidth="1"/>
    <col min="15610" max="15610" width="7.375" style="43" customWidth="1"/>
    <col min="15611" max="15611" width="9" style="43"/>
    <col min="15612" max="15612" width="9.25" style="43" customWidth="1"/>
    <col min="15613" max="15613" width="3.5" style="43" customWidth="1"/>
    <col min="15614" max="15615" width="12.625" style="43" customWidth="1"/>
    <col min="15616" max="15616" width="9" style="43"/>
    <col min="15617" max="15617" width="7.75" style="43" customWidth="1"/>
    <col min="15618" max="15618" width="13.125" style="43" customWidth="1"/>
    <col min="15619" max="15619" width="6.125" style="43" customWidth="1"/>
    <col min="15620" max="15620" width="9.75" style="43" customWidth="1"/>
    <col min="15621" max="15621" width="1.375" style="43" customWidth="1"/>
    <col min="15622" max="15861" width="9" style="43"/>
    <col min="15862" max="15862" width="1.375" style="43" customWidth="1"/>
    <col min="15863" max="15863" width="3.5" style="43" customWidth="1"/>
    <col min="15864" max="15864" width="22.125" style="43" customWidth="1"/>
    <col min="15865" max="15865" width="9.75" style="43" customWidth="1"/>
    <col min="15866" max="15866" width="7.375" style="43" customWidth="1"/>
    <col min="15867" max="15867" width="9" style="43"/>
    <col min="15868" max="15868" width="9.25" style="43" customWidth="1"/>
    <col min="15869" max="15869" width="3.5" style="43" customWidth="1"/>
    <col min="15870" max="15871" width="12.625" style="43" customWidth="1"/>
    <col min="15872" max="15872" width="9" style="43"/>
    <col min="15873" max="15873" width="7.75" style="43" customWidth="1"/>
    <col min="15874" max="15874" width="13.125" style="43" customWidth="1"/>
    <col min="15875" max="15875" width="6.125" style="43" customWidth="1"/>
    <col min="15876" max="15876" width="9.75" style="43" customWidth="1"/>
    <col min="15877" max="15877" width="1.375" style="43" customWidth="1"/>
    <col min="15878" max="16117" width="9" style="43"/>
    <col min="16118" max="16118" width="1.375" style="43" customWidth="1"/>
    <col min="16119" max="16119" width="3.5" style="43" customWidth="1"/>
    <col min="16120" max="16120" width="22.125" style="43" customWidth="1"/>
    <col min="16121" max="16121" width="9.75" style="43" customWidth="1"/>
    <col min="16122" max="16122" width="7.375" style="43" customWidth="1"/>
    <col min="16123" max="16123" width="9" style="43"/>
    <col min="16124" max="16124" width="9.25" style="43" customWidth="1"/>
    <col min="16125" max="16125" width="3.5" style="43" customWidth="1"/>
    <col min="16126" max="16127" width="12.625" style="43" customWidth="1"/>
    <col min="16128" max="16128" width="9" style="43"/>
    <col min="16129" max="16129" width="7.75" style="43" customWidth="1"/>
    <col min="16130" max="16130" width="13.125" style="43" customWidth="1"/>
    <col min="16131" max="16131" width="6.125" style="43" customWidth="1"/>
    <col min="16132" max="16132" width="9.75" style="43" customWidth="1"/>
    <col min="16133" max="16133" width="1.375" style="43" customWidth="1"/>
    <col min="16134" max="16384" width="9" style="43"/>
  </cols>
  <sheetData>
    <row r="1" spans="2:22" ht="9.9499999999999993" customHeight="1" x14ac:dyDescent="0.15"/>
    <row r="2" spans="2:22" ht="24.95" customHeight="1" x14ac:dyDescent="0.15">
      <c r="B2" s="43" t="s">
        <v>787</v>
      </c>
      <c r="C2" s="45"/>
      <c r="D2" s="4"/>
      <c r="E2" s="4"/>
      <c r="F2" s="45"/>
      <c r="G2" s="100"/>
      <c r="H2" s="110"/>
      <c r="I2" s="100"/>
      <c r="J2" s="100"/>
      <c r="K2" s="100"/>
      <c r="L2" s="100"/>
      <c r="M2" s="100"/>
      <c r="N2" s="100"/>
      <c r="O2" s="4"/>
    </row>
    <row r="3" spans="2:22" ht="15" customHeight="1" thickBot="1" x14ac:dyDescent="0.2">
      <c r="B3" s="43" t="s">
        <v>205</v>
      </c>
      <c r="I3" s="4" t="s">
        <v>206</v>
      </c>
      <c r="P3" s="154" t="s">
        <v>227</v>
      </c>
    </row>
    <row r="4" spans="2:22" ht="15" customHeight="1" x14ac:dyDescent="0.15">
      <c r="B4" s="285" t="s">
        <v>91</v>
      </c>
      <c r="C4" s="286" t="s">
        <v>167</v>
      </c>
      <c r="D4" s="286" t="s">
        <v>146</v>
      </c>
      <c r="E4" s="286" t="s">
        <v>147</v>
      </c>
      <c r="F4" s="286" t="s">
        <v>24</v>
      </c>
      <c r="G4" s="268" t="s">
        <v>148</v>
      </c>
      <c r="H4" s="145"/>
      <c r="I4" s="1191" t="s">
        <v>91</v>
      </c>
      <c r="J4" s="1252" t="s">
        <v>171</v>
      </c>
      <c r="K4" s="287" t="s">
        <v>168</v>
      </c>
      <c r="L4" s="287" t="s">
        <v>149</v>
      </c>
      <c r="M4" s="1252" t="s">
        <v>24</v>
      </c>
      <c r="N4" s="1254" t="s">
        <v>148</v>
      </c>
      <c r="O4" s="163"/>
      <c r="P4" s="288" t="s">
        <v>174</v>
      </c>
      <c r="Q4" s="289" t="s">
        <v>175</v>
      </c>
      <c r="R4" s="289" t="s">
        <v>176</v>
      </c>
      <c r="S4" s="289" t="s">
        <v>267</v>
      </c>
      <c r="T4" s="1193" t="s">
        <v>177</v>
      </c>
      <c r="U4" s="1075"/>
      <c r="V4" s="290" t="s">
        <v>178</v>
      </c>
    </row>
    <row r="5" spans="2:22" ht="15" customHeight="1" x14ac:dyDescent="0.15">
      <c r="B5" s="1025" t="s">
        <v>162</v>
      </c>
      <c r="C5" s="264" t="s">
        <v>790</v>
      </c>
      <c r="D5" s="264">
        <v>40</v>
      </c>
      <c r="E5" s="265" t="s">
        <v>268</v>
      </c>
      <c r="F5" s="264">
        <v>5000</v>
      </c>
      <c r="G5" s="134">
        <f t="shared" ref="G5:G6" si="0">D5*F5</f>
        <v>200000</v>
      </c>
      <c r="H5" s="146"/>
      <c r="I5" s="1251"/>
      <c r="J5" s="1253"/>
      <c r="K5" s="284" t="s">
        <v>150</v>
      </c>
      <c r="L5" s="284" t="s">
        <v>258</v>
      </c>
      <c r="M5" s="1253"/>
      <c r="N5" s="1255"/>
      <c r="O5" s="163"/>
      <c r="P5" s="235" t="s">
        <v>269</v>
      </c>
      <c r="Q5" s="133">
        <v>50</v>
      </c>
      <c r="R5" s="276" t="s">
        <v>179</v>
      </c>
      <c r="S5" s="133">
        <v>2100</v>
      </c>
      <c r="T5" s="1169">
        <v>3</v>
      </c>
      <c r="U5" s="1170"/>
      <c r="V5" s="156">
        <f>Q5*S5/T5</f>
        <v>35000</v>
      </c>
    </row>
    <row r="6" spans="2:22" ht="15" customHeight="1" x14ac:dyDescent="0.15">
      <c r="B6" s="985"/>
      <c r="C6" s="264"/>
      <c r="D6" s="264"/>
      <c r="E6" s="265"/>
      <c r="F6" s="264"/>
      <c r="G6" s="135">
        <f t="shared" si="0"/>
        <v>0</v>
      </c>
      <c r="H6" s="146"/>
      <c r="I6" s="1250" t="s">
        <v>170</v>
      </c>
      <c r="J6" s="264" t="s">
        <v>711</v>
      </c>
      <c r="K6" s="283">
        <v>30</v>
      </c>
      <c r="L6" s="283">
        <v>2.5</v>
      </c>
      <c r="M6" s="283">
        <v>84.7</v>
      </c>
      <c r="N6" s="135">
        <f>K6*L6*M6</f>
        <v>6352.5</v>
      </c>
      <c r="O6" s="163"/>
      <c r="P6" s="235" t="s">
        <v>270</v>
      </c>
      <c r="Q6" s="133">
        <v>10000</v>
      </c>
      <c r="R6" s="566" t="s">
        <v>666</v>
      </c>
      <c r="S6" s="133">
        <v>7</v>
      </c>
      <c r="T6" s="1169">
        <v>3</v>
      </c>
      <c r="U6" s="1170"/>
      <c r="V6" s="156">
        <f t="shared" ref="V6:V8" si="1">Q6*S6/T6</f>
        <v>23333.333333333332</v>
      </c>
    </row>
    <row r="7" spans="2:22" ht="15" customHeight="1" thickBot="1" x14ac:dyDescent="0.2">
      <c r="B7" s="1198"/>
      <c r="C7" s="136" t="s">
        <v>151</v>
      </c>
      <c r="D7" s="136"/>
      <c r="E7" s="136"/>
      <c r="F7" s="136"/>
      <c r="G7" s="137">
        <f>SUM(G5:G6)</f>
        <v>200000</v>
      </c>
      <c r="H7" s="146"/>
      <c r="I7" s="985"/>
      <c r="J7" s="264"/>
      <c r="K7" s="283"/>
      <c r="L7" s="283"/>
      <c r="M7" s="283"/>
      <c r="N7" s="135">
        <f t="shared" ref="N7:N9" si="2">K7*L7*M7</f>
        <v>0</v>
      </c>
      <c r="O7" s="163"/>
      <c r="P7" s="235" t="s">
        <v>272</v>
      </c>
      <c r="Q7" s="133">
        <v>4000</v>
      </c>
      <c r="R7" s="276" t="s">
        <v>273</v>
      </c>
      <c r="S7" s="133">
        <v>420</v>
      </c>
      <c r="T7" s="1256">
        <v>10</v>
      </c>
      <c r="U7" s="1257"/>
      <c r="V7" s="156">
        <f t="shared" si="1"/>
        <v>168000</v>
      </c>
    </row>
    <row r="8" spans="2:22" ht="15" customHeight="1" thickTop="1" x14ac:dyDescent="0.15">
      <c r="B8" s="1196" t="s">
        <v>160</v>
      </c>
      <c r="C8" s="264" t="s">
        <v>791</v>
      </c>
      <c r="D8" s="264">
        <v>10</v>
      </c>
      <c r="E8" s="265" t="s">
        <v>644</v>
      </c>
      <c r="F8" s="264">
        <v>610</v>
      </c>
      <c r="G8" s="135">
        <f>D8*F8</f>
        <v>6100</v>
      </c>
      <c r="H8" s="146"/>
      <c r="I8" s="985"/>
      <c r="J8" s="264"/>
      <c r="K8" s="283"/>
      <c r="L8" s="283"/>
      <c r="M8" s="283"/>
      <c r="N8" s="135">
        <f t="shared" si="2"/>
        <v>0</v>
      </c>
      <c r="O8" s="163"/>
      <c r="P8" s="235" t="s">
        <v>274</v>
      </c>
      <c r="Q8" s="133">
        <v>50</v>
      </c>
      <c r="R8" s="276" t="s">
        <v>275</v>
      </c>
      <c r="S8" s="133">
        <v>400</v>
      </c>
      <c r="T8" s="1169">
        <v>10</v>
      </c>
      <c r="U8" s="1170"/>
      <c r="V8" s="156">
        <f t="shared" si="1"/>
        <v>2000</v>
      </c>
    </row>
    <row r="9" spans="2:22" ht="15" customHeight="1" x14ac:dyDescent="0.15">
      <c r="B9" s="985"/>
      <c r="C9" s="264"/>
      <c r="D9" s="264"/>
      <c r="E9" s="265"/>
      <c r="F9" s="264"/>
      <c r="G9" s="135">
        <f>D9*F9</f>
        <v>0</v>
      </c>
      <c r="H9" s="146"/>
      <c r="I9" s="985"/>
      <c r="J9" s="264"/>
      <c r="K9" s="283"/>
      <c r="L9" s="283"/>
      <c r="M9" s="283"/>
      <c r="N9" s="135">
        <f t="shared" si="2"/>
        <v>0</v>
      </c>
      <c r="O9" s="163"/>
      <c r="P9" s="235"/>
      <c r="Q9" s="133"/>
      <c r="R9" s="276"/>
      <c r="S9" s="133"/>
      <c r="T9" s="1169"/>
      <c r="U9" s="1170"/>
      <c r="V9" s="156"/>
    </row>
    <row r="10" spans="2:22" ht="15" customHeight="1" thickBot="1" x14ac:dyDescent="0.2">
      <c r="B10" s="985"/>
      <c r="C10" s="264"/>
      <c r="D10" s="264"/>
      <c r="E10" s="265"/>
      <c r="F10" s="264"/>
      <c r="G10" s="135">
        <f>D10*F10</f>
        <v>0</v>
      </c>
      <c r="H10" s="146"/>
      <c r="I10" s="1198"/>
      <c r="J10" s="236" t="s">
        <v>276</v>
      </c>
      <c r="K10" s="150">
        <f>SUM(K6:K9)</f>
        <v>30</v>
      </c>
      <c r="L10" s="150">
        <f>SUM(L6:L9)</f>
        <v>2.5</v>
      </c>
      <c r="M10" s="150"/>
      <c r="N10" s="149">
        <f>SUM(N6:N9)</f>
        <v>6352.5</v>
      </c>
      <c r="O10" s="163"/>
      <c r="P10" s="235"/>
      <c r="Q10" s="133"/>
      <c r="R10" s="276"/>
      <c r="S10" s="133"/>
      <c r="T10" s="1169"/>
      <c r="U10" s="1170"/>
      <c r="V10" s="156"/>
    </row>
    <row r="11" spans="2:22" ht="15" customHeight="1" thickTop="1" thickBot="1" x14ac:dyDescent="0.2">
      <c r="B11" s="1198"/>
      <c r="C11" s="138" t="s">
        <v>152</v>
      </c>
      <c r="D11" s="139"/>
      <c r="E11" s="139"/>
      <c r="F11" s="139"/>
      <c r="G11" s="140">
        <f>SUM(G8:G10)</f>
        <v>6100</v>
      </c>
      <c r="H11" s="146"/>
      <c r="I11" s="1196" t="s">
        <v>277</v>
      </c>
      <c r="J11" s="264" t="s">
        <v>661</v>
      </c>
      <c r="K11" s="283">
        <v>49</v>
      </c>
      <c r="L11" s="283">
        <v>2</v>
      </c>
      <c r="M11" s="283">
        <v>158.4</v>
      </c>
      <c r="N11" s="135">
        <f>L11*M11*K11</f>
        <v>15523.2</v>
      </c>
      <c r="O11" s="163"/>
      <c r="P11" s="235"/>
      <c r="Q11" s="133"/>
      <c r="R11" s="276"/>
      <c r="S11" s="133"/>
      <c r="T11" s="1169"/>
      <c r="U11" s="1170"/>
      <c r="V11" s="156"/>
    </row>
    <row r="12" spans="2:22" ht="15" customHeight="1" thickTop="1" x14ac:dyDescent="0.15">
      <c r="B12" s="1196" t="s">
        <v>161</v>
      </c>
      <c r="C12" s="264" t="s">
        <v>791</v>
      </c>
      <c r="D12" s="264">
        <v>120</v>
      </c>
      <c r="E12" s="265" t="s">
        <v>279</v>
      </c>
      <c r="F12" s="264">
        <v>3370</v>
      </c>
      <c r="G12" s="135">
        <f>D12*F12</f>
        <v>404400</v>
      </c>
      <c r="H12" s="146"/>
      <c r="I12" s="985"/>
      <c r="J12" s="264" t="s">
        <v>662</v>
      </c>
      <c r="K12" s="283">
        <v>200</v>
      </c>
      <c r="L12" s="283">
        <v>1</v>
      </c>
      <c r="M12" s="283">
        <v>158.4</v>
      </c>
      <c r="N12" s="135">
        <f t="shared" ref="N12:N14" si="3">K12*L12*M12</f>
        <v>31680</v>
      </c>
      <c r="O12" s="163"/>
      <c r="P12" s="235"/>
      <c r="Q12" s="133"/>
      <c r="R12" s="276"/>
      <c r="S12" s="133"/>
      <c r="T12" s="1256"/>
      <c r="U12" s="1257"/>
      <c r="V12" s="156"/>
    </row>
    <row r="13" spans="2:22" ht="15" customHeight="1" x14ac:dyDescent="0.15">
      <c r="B13" s="985"/>
      <c r="C13" s="264" t="s">
        <v>792</v>
      </c>
      <c r="D13" s="264">
        <v>20</v>
      </c>
      <c r="E13" s="265" t="s">
        <v>275</v>
      </c>
      <c r="F13" s="264">
        <v>2920</v>
      </c>
      <c r="G13" s="135">
        <f>D13*F13</f>
        <v>58400</v>
      </c>
      <c r="H13" s="146"/>
      <c r="I13" s="985"/>
      <c r="J13" s="264" t="s">
        <v>663</v>
      </c>
      <c r="K13" s="283">
        <v>40</v>
      </c>
      <c r="L13" s="283">
        <v>1</v>
      </c>
      <c r="M13" s="283">
        <v>158.4</v>
      </c>
      <c r="N13" s="135">
        <f t="shared" si="3"/>
        <v>6336</v>
      </c>
      <c r="O13" s="163"/>
      <c r="P13" s="235"/>
      <c r="Q13" s="133"/>
      <c r="R13" s="276"/>
      <c r="S13" s="133"/>
      <c r="T13" s="1169"/>
      <c r="U13" s="1170"/>
      <c r="V13" s="156"/>
    </row>
    <row r="14" spans="2:22" ht="15" customHeight="1" x14ac:dyDescent="0.15">
      <c r="B14" s="985"/>
      <c r="C14" s="264"/>
      <c r="D14" s="264"/>
      <c r="E14" s="265"/>
      <c r="F14" s="264"/>
      <c r="G14" s="135">
        <f>D14*F14</f>
        <v>0</v>
      </c>
      <c r="H14" s="146"/>
      <c r="I14" s="985"/>
      <c r="J14" s="264" t="s">
        <v>664</v>
      </c>
      <c r="K14" s="283">
        <v>65</v>
      </c>
      <c r="L14" s="283">
        <v>1</v>
      </c>
      <c r="M14" s="283">
        <v>158.4</v>
      </c>
      <c r="N14" s="135">
        <f t="shared" si="3"/>
        <v>10296</v>
      </c>
      <c r="O14" s="163"/>
      <c r="P14" s="235"/>
      <c r="Q14" s="133"/>
      <c r="R14" s="276"/>
      <c r="S14" s="133"/>
      <c r="T14" s="1169"/>
      <c r="U14" s="1170"/>
      <c r="V14" s="156"/>
    </row>
    <row r="15" spans="2:22" ht="15" customHeight="1" thickBot="1" x14ac:dyDescent="0.2">
      <c r="B15" s="985"/>
      <c r="C15" s="264"/>
      <c r="D15" s="264"/>
      <c r="E15" s="264"/>
      <c r="F15" s="264"/>
      <c r="G15" s="135">
        <f t="shared" ref="G15" si="4">D15*F15</f>
        <v>0</v>
      </c>
      <c r="H15" s="146"/>
      <c r="I15" s="1198"/>
      <c r="J15" s="236" t="s">
        <v>276</v>
      </c>
      <c r="K15" s="150">
        <f t="shared" ref="K15:L15" si="5">SUM(K11:K14)</f>
        <v>354</v>
      </c>
      <c r="L15" s="150">
        <f t="shared" si="5"/>
        <v>5</v>
      </c>
      <c r="M15" s="150"/>
      <c r="N15" s="149">
        <f>SUM(N11:N14)</f>
        <v>63835.199999999997</v>
      </c>
      <c r="O15" s="163"/>
      <c r="P15" s="235"/>
      <c r="Q15" s="133"/>
      <c r="R15" s="276"/>
      <c r="S15" s="133"/>
      <c r="T15" s="1169"/>
      <c r="U15" s="1170"/>
      <c r="V15" s="156"/>
    </row>
    <row r="16" spans="2:22" ht="15" customHeight="1" thickTop="1" thickBot="1" x14ac:dyDescent="0.2">
      <c r="B16" s="1198"/>
      <c r="C16" s="138" t="s">
        <v>152</v>
      </c>
      <c r="D16" s="139"/>
      <c r="E16" s="139"/>
      <c r="F16" s="139"/>
      <c r="G16" s="140">
        <f>SUM(G12:G15)</f>
        <v>462800</v>
      </c>
      <c r="H16" s="146"/>
      <c r="I16" s="1196" t="s">
        <v>172</v>
      </c>
      <c r="J16" s="264" t="s">
        <v>665</v>
      </c>
      <c r="K16" s="283">
        <v>30</v>
      </c>
      <c r="L16" s="283">
        <v>0.4</v>
      </c>
      <c r="M16" s="283">
        <v>168.4</v>
      </c>
      <c r="N16" s="135">
        <f>K16*L16*M16</f>
        <v>2020.8000000000002</v>
      </c>
      <c r="O16" s="163"/>
      <c r="P16" s="235"/>
      <c r="Q16" s="133"/>
      <c r="R16" s="276"/>
      <c r="S16" s="133"/>
      <c r="T16" s="1169"/>
      <c r="U16" s="1170"/>
      <c r="V16" s="156"/>
    </row>
    <row r="17" spans="2:22" ht="15" customHeight="1" thickTop="1" x14ac:dyDescent="0.15">
      <c r="B17" s="1196" t="s">
        <v>163</v>
      </c>
      <c r="C17" s="264"/>
      <c r="D17" s="264"/>
      <c r="E17" s="265"/>
      <c r="F17" s="264"/>
      <c r="G17" s="135">
        <f t="shared" ref="G17" si="6">D17*F17</f>
        <v>0</v>
      </c>
      <c r="H17" s="146"/>
      <c r="I17" s="985"/>
      <c r="J17" s="264"/>
      <c r="K17" s="283"/>
      <c r="L17" s="283"/>
      <c r="M17" s="283"/>
      <c r="N17" s="135">
        <f t="shared" ref="N17:N18" si="7">K17*L17*M17</f>
        <v>0</v>
      </c>
      <c r="O17" s="163"/>
      <c r="P17" s="235"/>
      <c r="Q17" s="133"/>
      <c r="R17" s="276"/>
      <c r="S17" s="133"/>
      <c r="T17" s="1169"/>
      <c r="U17" s="1170"/>
      <c r="V17" s="156"/>
    </row>
    <row r="18" spans="2:22" ht="15" customHeight="1" x14ac:dyDescent="0.15">
      <c r="B18" s="985"/>
      <c r="C18" s="264"/>
      <c r="D18" s="264"/>
      <c r="E18" s="265"/>
      <c r="F18" s="264"/>
      <c r="G18" s="135">
        <f>D18*F18</f>
        <v>0</v>
      </c>
      <c r="H18" s="146"/>
      <c r="I18" s="985"/>
      <c r="J18" s="264"/>
      <c r="K18" s="283"/>
      <c r="L18" s="283"/>
      <c r="M18" s="283"/>
      <c r="N18" s="135">
        <f t="shared" si="7"/>
        <v>0</v>
      </c>
      <c r="O18" s="163"/>
      <c r="P18" s="235"/>
      <c r="Q18" s="133"/>
      <c r="R18" s="276"/>
      <c r="S18" s="133"/>
      <c r="T18" s="1169"/>
      <c r="U18" s="1170"/>
      <c r="V18" s="156"/>
    </row>
    <row r="19" spans="2:22" ht="15" customHeight="1" thickBot="1" x14ac:dyDescent="0.2">
      <c r="B19" s="985"/>
      <c r="C19" s="264"/>
      <c r="D19" s="264"/>
      <c r="E19" s="264"/>
      <c r="F19" s="264"/>
      <c r="G19" s="135">
        <f t="shared" ref="G19" si="8">D19*F19</f>
        <v>0</v>
      </c>
      <c r="H19" s="146"/>
      <c r="I19" s="1198"/>
      <c r="J19" s="236" t="s">
        <v>280</v>
      </c>
      <c r="K19" s="150">
        <f>SUM(K16:K18)</f>
        <v>30</v>
      </c>
      <c r="L19" s="151">
        <f>SUM(L16:L18)</f>
        <v>0.4</v>
      </c>
      <c r="M19" s="152"/>
      <c r="N19" s="149">
        <f>SUM(N16:N18)</f>
        <v>2020.8000000000002</v>
      </c>
      <c r="O19" s="163"/>
      <c r="P19" s="235"/>
      <c r="Q19" s="133"/>
      <c r="R19" s="276"/>
      <c r="S19" s="133"/>
      <c r="T19" s="1169"/>
      <c r="U19" s="1170"/>
      <c r="V19" s="156"/>
    </row>
    <row r="20" spans="2:22" ht="15" customHeight="1" thickTop="1" thickBot="1" x14ac:dyDescent="0.2">
      <c r="B20" s="1198"/>
      <c r="C20" s="138" t="s">
        <v>152</v>
      </c>
      <c r="D20" s="139"/>
      <c r="E20" s="139"/>
      <c r="F20" s="139"/>
      <c r="G20" s="140">
        <f>SUM(G17:G19)</f>
        <v>0</v>
      </c>
      <c r="H20" s="146"/>
      <c r="I20" s="1196" t="s">
        <v>173</v>
      </c>
      <c r="J20" s="264" t="s">
        <v>655</v>
      </c>
      <c r="K20" s="283">
        <v>83</v>
      </c>
      <c r="L20" s="283">
        <v>18.100000000000001</v>
      </c>
      <c r="M20" s="283">
        <v>102.1</v>
      </c>
      <c r="N20" s="565">
        <f>K20*L20*M20</f>
        <v>153384.83000000002</v>
      </c>
      <c r="O20" s="163"/>
      <c r="P20" s="291" t="s">
        <v>29</v>
      </c>
      <c r="Q20" s="247"/>
      <c r="R20" s="247"/>
      <c r="S20" s="247"/>
      <c r="T20" s="1222"/>
      <c r="U20" s="1206"/>
      <c r="V20" s="292">
        <f>SUM(V5:V19)</f>
        <v>228333.33333333331</v>
      </c>
    </row>
    <row r="21" spans="2:22" ht="15" customHeight="1" thickTop="1" x14ac:dyDescent="0.15">
      <c r="B21" s="1196" t="s">
        <v>164</v>
      </c>
      <c r="C21" s="264"/>
      <c r="D21" s="264"/>
      <c r="E21" s="265"/>
      <c r="F21" s="264"/>
      <c r="G21" s="135">
        <f>D21*F21</f>
        <v>0</v>
      </c>
      <c r="H21" s="146"/>
      <c r="I21" s="985"/>
      <c r="J21" s="264"/>
      <c r="K21" s="283"/>
      <c r="L21" s="283"/>
      <c r="M21" s="283"/>
      <c r="N21" s="135">
        <f t="shared" ref="N21:N22" si="9">K21*L21*M21</f>
        <v>0</v>
      </c>
      <c r="O21" s="163"/>
    </row>
    <row r="22" spans="2:22" ht="15" customHeight="1" thickBot="1" x14ac:dyDescent="0.2">
      <c r="B22" s="985"/>
      <c r="C22" s="264"/>
      <c r="D22" s="264"/>
      <c r="E22" s="265"/>
      <c r="F22" s="264"/>
      <c r="G22" s="135">
        <f>D22*F22</f>
        <v>0</v>
      </c>
      <c r="H22" s="146"/>
      <c r="I22" s="985"/>
      <c r="J22" s="264"/>
      <c r="K22" s="283"/>
      <c r="L22" s="283"/>
      <c r="M22" s="283"/>
      <c r="N22" s="135">
        <f t="shared" si="9"/>
        <v>0</v>
      </c>
      <c r="O22" s="163"/>
      <c r="P22" s="154" t="s">
        <v>228</v>
      </c>
    </row>
    <row r="23" spans="2:22" ht="15" customHeight="1" thickBot="1" x14ac:dyDescent="0.2">
      <c r="B23" s="985"/>
      <c r="C23" s="264"/>
      <c r="D23" s="264"/>
      <c r="E23" s="265"/>
      <c r="F23" s="264"/>
      <c r="G23" s="135">
        <f>D23*F23</f>
        <v>0</v>
      </c>
      <c r="H23" s="146"/>
      <c r="I23" s="1198"/>
      <c r="J23" s="236" t="s">
        <v>282</v>
      </c>
      <c r="K23" s="150">
        <f>SUM(K20:K22)</f>
        <v>83</v>
      </c>
      <c r="L23" s="151">
        <f>SUM(L20:L22)</f>
        <v>18.100000000000001</v>
      </c>
      <c r="M23" s="152"/>
      <c r="N23" s="149">
        <f>SUM(N20:N22)</f>
        <v>153384.83000000002</v>
      </c>
      <c r="O23" s="163"/>
      <c r="P23" s="288" t="s">
        <v>180</v>
      </c>
      <c r="Q23" s="289" t="s">
        <v>175</v>
      </c>
      <c r="R23" s="289" t="s">
        <v>176</v>
      </c>
      <c r="S23" s="289" t="s">
        <v>267</v>
      </c>
      <c r="T23" s="289" t="s">
        <v>177</v>
      </c>
      <c r="U23" s="293" t="s">
        <v>181</v>
      </c>
      <c r="V23" s="290" t="s">
        <v>178</v>
      </c>
    </row>
    <row r="24" spans="2:22" ht="15" customHeight="1" thickTop="1" thickBot="1" x14ac:dyDescent="0.2">
      <c r="B24" s="1197"/>
      <c r="C24" s="141" t="s">
        <v>154</v>
      </c>
      <c r="D24" s="142"/>
      <c r="E24" s="142"/>
      <c r="F24" s="148"/>
      <c r="G24" s="143">
        <f>SUM(G21:G23)</f>
        <v>0</v>
      </c>
      <c r="I24" s="1196" t="s">
        <v>245</v>
      </c>
      <c r="J24" s="264"/>
      <c r="K24" s="283"/>
      <c r="L24" s="283"/>
      <c r="M24" s="283"/>
      <c r="N24" s="135">
        <f>K24*L24*M24</f>
        <v>0</v>
      </c>
      <c r="O24" s="163"/>
      <c r="P24" s="235" t="s">
        <v>283</v>
      </c>
      <c r="Q24" s="133">
        <v>8</v>
      </c>
      <c r="R24" s="294" t="s">
        <v>284</v>
      </c>
      <c r="S24" s="133">
        <v>1000</v>
      </c>
      <c r="T24" s="133">
        <v>3</v>
      </c>
      <c r="U24" s="263">
        <v>3</v>
      </c>
      <c r="V24" s="156">
        <f>Q24*S24/T24/U24</f>
        <v>888.8888888888888</v>
      </c>
    </row>
    <row r="25" spans="2:22" ht="15" customHeight="1" x14ac:dyDescent="0.15">
      <c r="H25" s="147"/>
      <c r="I25" s="985"/>
      <c r="J25" s="264"/>
      <c r="K25" s="283"/>
      <c r="L25" s="283"/>
      <c r="M25" s="283"/>
      <c r="N25" s="135">
        <f t="shared" ref="N25:N26" si="10">K25*L25*M25</f>
        <v>0</v>
      </c>
      <c r="O25" s="163"/>
      <c r="P25" s="235" t="s">
        <v>285</v>
      </c>
      <c r="Q25" s="133">
        <v>8</v>
      </c>
      <c r="R25" s="276" t="s">
        <v>103</v>
      </c>
      <c r="S25" s="133">
        <v>10000</v>
      </c>
      <c r="T25" s="133">
        <v>10</v>
      </c>
      <c r="U25" s="263">
        <v>3</v>
      </c>
      <c r="V25" s="156">
        <f>Q25*S25/T25/U25</f>
        <v>2666.6666666666665</v>
      </c>
    </row>
    <row r="26" spans="2:22" ht="15" customHeight="1" thickBot="1" x14ac:dyDescent="0.2">
      <c r="B26" s="4" t="s">
        <v>286</v>
      </c>
      <c r="C26" s="4"/>
      <c r="D26" s="45"/>
      <c r="E26" s="4"/>
      <c r="F26" s="45"/>
      <c r="G26" s="47"/>
      <c r="H26" s="145"/>
      <c r="I26" s="985"/>
      <c r="J26" s="264"/>
      <c r="K26" s="283"/>
      <c r="L26" s="283"/>
      <c r="M26" s="283"/>
      <c r="N26" s="135">
        <f t="shared" si="10"/>
        <v>0</v>
      </c>
      <c r="O26" s="163"/>
      <c r="P26" s="235" t="s">
        <v>654</v>
      </c>
      <c r="Q26" s="133">
        <v>8</v>
      </c>
      <c r="R26" s="566" t="s">
        <v>103</v>
      </c>
      <c r="S26" s="133">
        <v>35000</v>
      </c>
      <c r="T26" s="133">
        <v>7</v>
      </c>
      <c r="U26" s="263">
        <v>3</v>
      </c>
      <c r="V26" s="156">
        <f t="shared" ref="V26:V27" si="11">Q26*S26/T26/U26</f>
        <v>13333.333333333334</v>
      </c>
    </row>
    <row r="27" spans="2:22" ht="15" customHeight="1" thickBot="1" x14ac:dyDescent="0.2">
      <c r="B27" s="285" t="s">
        <v>91</v>
      </c>
      <c r="C27" s="286" t="s">
        <v>145</v>
      </c>
      <c r="D27" s="286" t="s">
        <v>146</v>
      </c>
      <c r="E27" s="286" t="s">
        <v>147</v>
      </c>
      <c r="F27" s="286" t="s">
        <v>24</v>
      </c>
      <c r="G27" s="268" t="s">
        <v>148</v>
      </c>
      <c r="H27" s="146"/>
      <c r="I27" s="1198"/>
      <c r="J27" s="236" t="s">
        <v>287</v>
      </c>
      <c r="K27" s="150">
        <f>SUM(K24:K26)</f>
        <v>0</v>
      </c>
      <c r="L27" s="151">
        <f>SUM(L24:L26)</f>
        <v>0</v>
      </c>
      <c r="M27" s="152"/>
      <c r="N27" s="149">
        <f>SUM(N24:N26)</f>
        <v>0</v>
      </c>
      <c r="O27" s="163"/>
      <c r="P27" s="235" t="s">
        <v>658</v>
      </c>
      <c r="Q27" s="133">
        <v>16</v>
      </c>
      <c r="R27" s="566" t="s">
        <v>284</v>
      </c>
      <c r="S27" s="133">
        <v>950</v>
      </c>
      <c r="T27" s="133">
        <v>5</v>
      </c>
      <c r="U27" s="263">
        <v>3</v>
      </c>
      <c r="V27" s="156">
        <f t="shared" si="11"/>
        <v>1013.3333333333334</v>
      </c>
    </row>
    <row r="28" spans="2:22" ht="15" customHeight="1" thickTop="1" x14ac:dyDescent="0.15">
      <c r="B28" s="1025" t="s">
        <v>30</v>
      </c>
      <c r="C28" s="264" t="s">
        <v>764</v>
      </c>
      <c r="D28" s="282">
        <v>3</v>
      </c>
      <c r="E28" s="265" t="s">
        <v>644</v>
      </c>
      <c r="F28" s="264">
        <v>4568</v>
      </c>
      <c r="G28" s="134">
        <f t="shared" ref="G28:G37" si="12">D28*F28</f>
        <v>13704</v>
      </c>
      <c r="H28" s="146"/>
      <c r="I28" s="1196" t="s">
        <v>169</v>
      </c>
      <c r="J28" s="401" t="s">
        <v>656</v>
      </c>
      <c r="K28" s="405">
        <v>720</v>
      </c>
      <c r="L28" s="405">
        <v>0.8</v>
      </c>
      <c r="M28" s="405">
        <v>14</v>
      </c>
      <c r="N28" s="403">
        <f>K28*L28*M28</f>
        <v>8064</v>
      </c>
      <c r="O28" s="163"/>
      <c r="P28" s="235" t="s">
        <v>659</v>
      </c>
      <c r="Q28" s="133">
        <v>2</v>
      </c>
      <c r="R28" s="566" t="s">
        <v>660</v>
      </c>
      <c r="S28" s="133">
        <v>500</v>
      </c>
      <c r="T28" s="133">
        <v>5</v>
      </c>
      <c r="U28" s="263">
        <v>3</v>
      </c>
      <c r="V28" s="156">
        <f>Q28*S28/T28/U28</f>
        <v>66.666666666666671</v>
      </c>
    </row>
    <row r="29" spans="2:22" ht="15" customHeight="1" x14ac:dyDescent="0.15">
      <c r="B29" s="985"/>
      <c r="C29" s="264" t="s">
        <v>766</v>
      </c>
      <c r="D29" s="282">
        <v>18</v>
      </c>
      <c r="E29" s="265" t="s">
        <v>645</v>
      </c>
      <c r="F29" s="264">
        <v>1629</v>
      </c>
      <c r="G29" s="135">
        <f t="shared" si="12"/>
        <v>29322</v>
      </c>
      <c r="H29" s="146"/>
      <c r="I29" s="985"/>
      <c r="J29" s="264"/>
      <c r="K29" s="283"/>
      <c r="L29" s="283"/>
      <c r="M29" s="283"/>
      <c r="N29" s="135">
        <f t="shared" ref="N29" si="13">K29*L29*M29</f>
        <v>0</v>
      </c>
      <c r="O29" s="44"/>
      <c r="P29" s="235"/>
      <c r="Q29" s="133"/>
      <c r="R29" s="294"/>
      <c r="S29" s="133"/>
      <c r="T29" s="133"/>
      <c r="U29" s="263"/>
      <c r="V29" s="156"/>
    </row>
    <row r="30" spans="2:22" ht="15" customHeight="1" x14ac:dyDescent="0.15">
      <c r="B30" s="985"/>
      <c r="C30" s="264" t="s">
        <v>768</v>
      </c>
      <c r="D30" s="282">
        <v>3</v>
      </c>
      <c r="E30" s="265" t="s">
        <v>638</v>
      </c>
      <c r="F30" s="264">
        <v>1844</v>
      </c>
      <c r="G30" s="135">
        <f t="shared" si="12"/>
        <v>5532</v>
      </c>
      <c r="H30" s="146"/>
      <c r="I30" s="985"/>
      <c r="J30" s="264"/>
      <c r="K30" s="283"/>
      <c r="L30" s="283"/>
      <c r="M30" s="283"/>
      <c r="N30" s="135">
        <f>K30*L30*M30/2</f>
        <v>0</v>
      </c>
      <c r="P30" s="235"/>
      <c r="Q30" s="133"/>
      <c r="R30" s="276"/>
      <c r="S30" s="133"/>
      <c r="T30" s="133"/>
      <c r="U30" s="263"/>
      <c r="V30" s="156"/>
    </row>
    <row r="31" spans="2:22" ht="15" customHeight="1" thickBot="1" x14ac:dyDescent="0.2">
      <c r="B31" s="985"/>
      <c r="C31" s="264" t="s">
        <v>770</v>
      </c>
      <c r="D31" s="282">
        <v>6</v>
      </c>
      <c r="E31" s="265" t="s">
        <v>646</v>
      </c>
      <c r="F31" s="264">
        <v>3922</v>
      </c>
      <c r="G31" s="135">
        <f t="shared" si="12"/>
        <v>23532</v>
      </c>
      <c r="H31" s="146"/>
      <c r="I31" s="1197"/>
      <c r="J31" s="237" t="s">
        <v>288</v>
      </c>
      <c r="K31" s="153">
        <f>SUM(K28:K30)</f>
        <v>720</v>
      </c>
      <c r="L31" s="295">
        <f>SUM(L28:L30)</f>
        <v>0.8</v>
      </c>
      <c r="M31" s="155"/>
      <c r="N31" s="296">
        <f>SUM(N28:N30)</f>
        <v>8064</v>
      </c>
      <c r="P31" s="235"/>
      <c r="Q31" s="133"/>
      <c r="R31" s="276"/>
      <c r="S31" s="133"/>
      <c r="T31" s="133"/>
      <c r="U31" s="263"/>
      <c r="V31" s="156"/>
    </row>
    <row r="32" spans="2:22" ht="15" customHeight="1" x14ac:dyDescent="0.15">
      <c r="B32" s="985"/>
      <c r="C32" s="264" t="s">
        <v>772</v>
      </c>
      <c r="D32" s="282">
        <v>6</v>
      </c>
      <c r="E32" s="265" t="s">
        <v>644</v>
      </c>
      <c r="F32" s="264">
        <v>3816</v>
      </c>
      <c r="G32" s="135">
        <f t="shared" si="12"/>
        <v>22896</v>
      </c>
      <c r="H32" s="146"/>
      <c r="I32" s="128"/>
      <c r="J32" s="128"/>
      <c r="K32" s="128"/>
      <c r="L32" s="128"/>
      <c r="M32" s="128"/>
      <c r="N32" s="128"/>
      <c r="P32" s="235"/>
      <c r="Q32" s="133"/>
      <c r="R32" s="276"/>
      <c r="S32" s="133"/>
      <c r="T32" s="133"/>
      <c r="U32" s="263"/>
      <c r="V32" s="156"/>
    </row>
    <row r="33" spans="2:22" ht="15" customHeight="1" thickBot="1" x14ac:dyDescent="0.2">
      <c r="B33" s="985"/>
      <c r="C33" s="264"/>
      <c r="D33" s="264"/>
      <c r="E33" s="265"/>
      <c r="F33" s="264"/>
      <c r="G33" s="135">
        <f t="shared" si="12"/>
        <v>0</v>
      </c>
      <c r="H33" s="146"/>
      <c r="I33" s="297" t="s">
        <v>226</v>
      </c>
      <c r="J33" s="118"/>
      <c r="K33" s="118"/>
      <c r="L33" s="118"/>
      <c r="M33" s="118"/>
      <c r="P33" s="235"/>
      <c r="Q33" s="133"/>
      <c r="R33" s="276"/>
      <c r="S33" s="133"/>
      <c r="T33" s="133"/>
      <c r="U33" s="263"/>
      <c r="V33" s="156"/>
    </row>
    <row r="34" spans="2:22" ht="15" customHeight="1" thickBot="1" x14ac:dyDescent="0.2">
      <c r="B34" s="985"/>
      <c r="C34" s="264"/>
      <c r="D34" s="264"/>
      <c r="E34" s="265"/>
      <c r="F34" s="264"/>
      <c r="G34" s="135">
        <f t="shared" si="12"/>
        <v>0</v>
      </c>
      <c r="H34" s="146"/>
      <c r="I34" s="221" t="s">
        <v>214</v>
      </c>
      <c r="J34" s="298" t="s">
        <v>5</v>
      </c>
      <c r="K34" s="1182" t="s">
        <v>215</v>
      </c>
      <c r="L34" s="1183"/>
      <c r="M34" s="299" t="s">
        <v>181</v>
      </c>
      <c r="N34" s="300" t="s">
        <v>289</v>
      </c>
      <c r="P34" s="279" t="s">
        <v>219</v>
      </c>
      <c r="Q34" s="247"/>
      <c r="R34" s="247"/>
      <c r="S34" s="247"/>
      <c r="T34" s="247"/>
      <c r="U34" s="157"/>
      <c r="V34" s="292">
        <f>SUM(V24:V33)</f>
        <v>17968.888888888891</v>
      </c>
    </row>
    <row r="35" spans="2:22" ht="15" customHeight="1" x14ac:dyDescent="0.15">
      <c r="B35" s="985"/>
      <c r="C35" s="264"/>
      <c r="D35" s="264"/>
      <c r="E35" s="265"/>
      <c r="F35" s="264"/>
      <c r="G35" s="135">
        <f t="shared" si="12"/>
        <v>0</v>
      </c>
      <c r="H35" s="146"/>
      <c r="I35" s="1166" t="s">
        <v>2</v>
      </c>
      <c r="J35" s="144" t="str">
        <f>'６　固定資本装備と減価償却費'!C4</f>
        <v>作業場</v>
      </c>
      <c r="K35" s="1184">
        <v>2160000</v>
      </c>
      <c r="L35" s="1184"/>
      <c r="M35" s="567">
        <v>30</v>
      </c>
      <c r="N35" s="229">
        <f>+K35/M35*0.014*0.3</f>
        <v>302.39999999999998</v>
      </c>
    </row>
    <row r="36" spans="2:22" ht="15" customHeight="1" thickBot="1" x14ac:dyDescent="0.2">
      <c r="B36" s="985"/>
      <c r="C36" s="264"/>
      <c r="D36" s="264"/>
      <c r="E36" s="265"/>
      <c r="F36" s="264"/>
      <c r="G36" s="135">
        <f t="shared" si="12"/>
        <v>0</v>
      </c>
      <c r="H36" s="146"/>
      <c r="I36" s="1248"/>
      <c r="J36" s="144"/>
      <c r="K36" s="1184"/>
      <c r="L36" s="1184"/>
      <c r="M36" s="280"/>
      <c r="N36" s="229"/>
      <c r="P36" s="297" t="s">
        <v>220</v>
      </c>
      <c r="Q36" s="118"/>
      <c r="R36" s="118"/>
      <c r="S36" s="118"/>
      <c r="T36" s="118"/>
    </row>
    <row r="37" spans="2:22" ht="15" customHeight="1" x14ac:dyDescent="0.15">
      <c r="B37" s="985"/>
      <c r="C37" s="264"/>
      <c r="D37" s="264"/>
      <c r="E37" s="265"/>
      <c r="F37" s="264"/>
      <c r="G37" s="135">
        <f t="shared" si="12"/>
        <v>0</v>
      </c>
      <c r="H37" s="146"/>
      <c r="I37" s="1248"/>
      <c r="J37" s="144"/>
      <c r="K37" s="1184"/>
      <c r="L37" s="1184"/>
      <c r="M37" s="280"/>
      <c r="N37" s="229"/>
      <c r="O37" s="154"/>
      <c r="P37" s="221" t="s">
        <v>212</v>
      </c>
      <c r="Q37" s="1181" t="s">
        <v>221</v>
      </c>
      <c r="R37" s="1181"/>
      <c r="S37" s="278" t="s">
        <v>224</v>
      </c>
      <c r="T37" s="278" t="s">
        <v>223</v>
      </c>
      <c r="U37" s="301" t="s">
        <v>181</v>
      </c>
      <c r="V37" s="239" t="s">
        <v>289</v>
      </c>
    </row>
    <row r="38" spans="2:22" ht="15" customHeight="1" thickBot="1" x14ac:dyDescent="0.2">
      <c r="B38" s="1198"/>
      <c r="C38" s="136" t="s">
        <v>151</v>
      </c>
      <c r="D38" s="136"/>
      <c r="E38" s="136"/>
      <c r="F38" s="136"/>
      <c r="G38" s="137">
        <f>SUM(G28:G37)</f>
        <v>94986</v>
      </c>
      <c r="H38" s="146"/>
      <c r="I38" s="1248"/>
      <c r="J38" s="144"/>
      <c r="K38" s="1184"/>
      <c r="L38" s="1184"/>
      <c r="M38" s="280"/>
      <c r="N38" s="229"/>
      <c r="O38" s="154"/>
      <c r="P38" s="1179" t="s">
        <v>222</v>
      </c>
      <c r="Q38" s="225"/>
      <c r="R38" s="242"/>
      <c r="S38" s="226"/>
      <c r="T38" s="302"/>
      <c r="U38" s="226"/>
      <c r="V38" s="229"/>
    </row>
    <row r="39" spans="2:22" ht="15" customHeight="1" thickTop="1" x14ac:dyDescent="0.15">
      <c r="B39" s="1196" t="s">
        <v>165</v>
      </c>
      <c r="C39" s="264" t="s">
        <v>764</v>
      </c>
      <c r="D39" s="303">
        <v>1.5</v>
      </c>
      <c r="E39" s="265" t="s">
        <v>644</v>
      </c>
      <c r="F39" s="264">
        <v>7590</v>
      </c>
      <c r="G39" s="135">
        <f>D39*F39</f>
        <v>11385</v>
      </c>
      <c r="H39" s="146"/>
      <c r="I39" s="1248"/>
      <c r="J39" s="144"/>
      <c r="K39" s="1184"/>
      <c r="L39" s="1184"/>
      <c r="M39" s="280"/>
      <c r="N39" s="229"/>
      <c r="O39" s="154"/>
      <c r="P39" s="1177"/>
      <c r="Q39" s="225"/>
      <c r="R39" s="242"/>
      <c r="S39" s="226"/>
      <c r="T39" s="243"/>
      <c r="U39" s="226"/>
      <c r="V39" s="229"/>
    </row>
    <row r="40" spans="2:22" ht="15" customHeight="1" x14ac:dyDescent="0.15">
      <c r="B40" s="985"/>
      <c r="C40" s="264" t="s">
        <v>766</v>
      </c>
      <c r="D40" s="282">
        <v>3</v>
      </c>
      <c r="E40" s="265" t="s">
        <v>646</v>
      </c>
      <c r="F40" s="264">
        <v>3459</v>
      </c>
      <c r="G40" s="135">
        <f>D40*F40</f>
        <v>10377</v>
      </c>
      <c r="H40" s="146"/>
      <c r="I40" s="1248"/>
      <c r="K40" s="1184"/>
      <c r="L40" s="1184"/>
      <c r="M40" s="280"/>
      <c r="N40" s="229"/>
      <c r="O40" s="154"/>
      <c r="P40" s="1177"/>
      <c r="Q40" s="225"/>
      <c r="R40" s="242"/>
      <c r="S40" s="226"/>
      <c r="T40" s="243"/>
      <c r="U40" s="226"/>
      <c r="V40" s="229"/>
    </row>
    <row r="41" spans="2:22" ht="15" customHeight="1" x14ac:dyDescent="0.15">
      <c r="B41" s="985"/>
      <c r="C41" s="264" t="s">
        <v>768</v>
      </c>
      <c r="D41" s="282">
        <v>6</v>
      </c>
      <c r="E41" s="265" t="s">
        <v>273</v>
      </c>
      <c r="F41" s="264">
        <v>4576</v>
      </c>
      <c r="G41" s="135">
        <f t="shared" ref="G41:G52" si="14">D41*F41</f>
        <v>27456</v>
      </c>
      <c r="H41" s="146"/>
      <c r="I41" s="1248"/>
      <c r="J41" s="144" t="s">
        <v>213</v>
      </c>
      <c r="K41" s="1184"/>
      <c r="L41" s="1184"/>
      <c r="M41" s="280"/>
      <c r="N41" s="229"/>
      <c r="O41" s="154"/>
      <c r="P41" s="1177"/>
      <c r="Q41" s="225"/>
      <c r="R41" s="242"/>
      <c r="S41" s="226"/>
      <c r="T41" s="243"/>
      <c r="U41" s="226"/>
      <c r="V41" s="229"/>
    </row>
    <row r="42" spans="2:22" ht="15" customHeight="1" thickBot="1" x14ac:dyDescent="0.2">
      <c r="B42" s="985"/>
      <c r="C42" s="264" t="s">
        <v>770</v>
      </c>
      <c r="D42" s="264">
        <v>6</v>
      </c>
      <c r="E42" s="265" t="s">
        <v>273</v>
      </c>
      <c r="F42" s="264">
        <v>5152</v>
      </c>
      <c r="G42" s="135">
        <f t="shared" si="14"/>
        <v>30912</v>
      </c>
      <c r="H42" s="146"/>
      <c r="I42" s="1249"/>
      <c r="J42" s="222" t="s">
        <v>152</v>
      </c>
      <c r="K42" s="1215"/>
      <c r="L42" s="1216"/>
      <c r="M42" s="223"/>
      <c r="N42" s="228">
        <f>SUM(N35:N41)</f>
        <v>302.39999999999998</v>
      </c>
      <c r="O42" s="154"/>
      <c r="P42" s="1177"/>
      <c r="Q42" s="225"/>
      <c r="R42" s="242"/>
      <c r="S42" s="226"/>
      <c r="T42" s="243"/>
      <c r="U42" s="226"/>
      <c r="V42" s="229"/>
    </row>
    <row r="43" spans="2:22" ht="15" customHeight="1" thickTop="1" x14ac:dyDescent="0.15">
      <c r="B43" s="985"/>
      <c r="C43" s="264"/>
      <c r="D43" s="264"/>
      <c r="E43" s="265"/>
      <c r="F43" s="264"/>
      <c r="G43" s="135">
        <f t="shared" si="14"/>
        <v>0</v>
      </c>
      <c r="H43" s="146"/>
      <c r="I43" s="1199" t="s">
        <v>216</v>
      </c>
      <c r="J43" s="224" t="s">
        <v>229</v>
      </c>
      <c r="K43" s="1217">
        <v>4100</v>
      </c>
      <c r="L43" s="1217"/>
      <c r="M43" s="281">
        <v>30</v>
      </c>
      <c r="N43" s="240">
        <f>K43/M43</f>
        <v>136.66666666666666</v>
      </c>
      <c r="O43" s="154"/>
      <c r="P43" s="1177"/>
      <c r="Q43" s="225"/>
      <c r="R43" s="242"/>
      <c r="S43" s="226"/>
      <c r="T43" s="243"/>
      <c r="U43" s="226"/>
      <c r="V43" s="229"/>
    </row>
    <row r="44" spans="2:22" ht="15" customHeight="1" thickBot="1" x14ac:dyDescent="0.2">
      <c r="B44" s="985"/>
      <c r="C44" s="264"/>
      <c r="D44" s="264"/>
      <c r="E44" s="265"/>
      <c r="F44" s="264"/>
      <c r="G44" s="135">
        <f t="shared" si="14"/>
        <v>0</v>
      </c>
      <c r="H44" s="146"/>
      <c r="I44" s="1200"/>
      <c r="J44" s="225"/>
      <c r="K44" s="1184"/>
      <c r="L44" s="1184"/>
      <c r="M44" s="280"/>
      <c r="N44" s="229"/>
      <c r="O44" s="154"/>
      <c r="P44" s="1180"/>
      <c r="Q44" s="230" t="s">
        <v>225</v>
      </c>
      <c r="R44" s="231"/>
      <c r="S44" s="231"/>
      <c r="T44" s="231"/>
      <c r="U44" s="231"/>
      <c r="V44" s="232">
        <f>SUM(V38:V43)</f>
        <v>0</v>
      </c>
    </row>
    <row r="45" spans="2:22" ht="15" customHeight="1" thickTop="1" x14ac:dyDescent="0.15">
      <c r="B45" s="985"/>
      <c r="C45" s="264"/>
      <c r="D45" s="264"/>
      <c r="E45" s="265"/>
      <c r="F45" s="264"/>
      <c r="G45" s="135">
        <f t="shared" si="14"/>
        <v>0</v>
      </c>
      <c r="H45" s="146"/>
      <c r="I45" s="1200"/>
      <c r="J45" s="144"/>
      <c r="K45" s="1184"/>
      <c r="L45" s="1184"/>
      <c r="M45" s="280"/>
      <c r="N45" s="229"/>
      <c r="O45" s="154"/>
      <c r="P45" s="1176" t="s">
        <v>230</v>
      </c>
      <c r="Q45" s="1173" t="s">
        <v>233</v>
      </c>
      <c r="R45" s="245" t="s">
        <v>229</v>
      </c>
      <c r="S45" s="225">
        <v>15600</v>
      </c>
      <c r="T45" s="243">
        <v>1</v>
      </c>
      <c r="U45" s="568">
        <v>30</v>
      </c>
      <c r="V45" s="229">
        <f>+S45*T45/U45</f>
        <v>520</v>
      </c>
    </row>
    <row r="46" spans="2:22" ht="15" customHeight="1" thickBot="1" x14ac:dyDescent="0.2">
      <c r="B46" s="985"/>
      <c r="C46" s="264"/>
      <c r="D46" s="264"/>
      <c r="E46" s="264"/>
      <c r="F46" s="264"/>
      <c r="G46" s="135">
        <f t="shared" si="14"/>
        <v>0</v>
      </c>
      <c r="H46" s="146"/>
      <c r="I46" s="1218"/>
      <c r="J46" s="222" t="s">
        <v>152</v>
      </c>
      <c r="K46" s="1215"/>
      <c r="L46" s="1216"/>
      <c r="M46" s="223"/>
      <c r="N46" s="228">
        <f>SUM(N43:N45)</f>
        <v>136.66666666666666</v>
      </c>
      <c r="O46" s="154"/>
      <c r="P46" s="1177"/>
      <c r="Q46" s="1174"/>
      <c r="R46" s="245"/>
      <c r="S46" s="225"/>
      <c r="T46" s="243"/>
      <c r="U46" s="225"/>
      <c r="V46" s="229"/>
    </row>
    <row r="47" spans="2:22" ht="15" customHeight="1" thickTop="1" x14ac:dyDescent="0.15">
      <c r="B47" s="985"/>
      <c r="C47" s="264"/>
      <c r="D47" s="264"/>
      <c r="E47" s="264"/>
      <c r="F47" s="264"/>
      <c r="G47" s="135">
        <f t="shared" si="14"/>
        <v>0</v>
      </c>
      <c r="H47" s="146"/>
      <c r="I47" s="1199" t="s">
        <v>217</v>
      </c>
      <c r="J47" s="224"/>
      <c r="K47" s="1217"/>
      <c r="L47" s="1217"/>
      <c r="M47" s="281"/>
      <c r="N47" s="240"/>
      <c r="O47" s="154"/>
      <c r="P47" s="1177"/>
      <c r="Q47" s="1174"/>
      <c r="R47" s="245"/>
      <c r="S47" s="225"/>
      <c r="T47" s="225"/>
      <c r="U47" s="144"/>
      <c r="V47" s="246"/>
    </row>
    <row r="48" spans="2:22" ht="15" customHeight="1" x14ac:dyDescent="0.15">
      <c r="B48" s="985"/>
      <c r="C48" s="264"/>
      <c r="D48" s="264"/>
      <c r="E48" s="264"/>
      <c r="F48" s="264"/>
      <c r="G48" s="135">
        <f t="shared" si="14"/>
        <v>0</v>
      </c>
      <c r="H48" s="146"/>
      <c r="I48" s="1200"/>
      <c r="J48" s="225"/>
      <c r="K48" s="1184"/>
      <c r="L48" s="1184"/>
      <c r="M48" s="280"/>
      <c r="N48" s="229"/>
      <c r="O48" s="154"/>
      <c r="P48" s="1177"/>
      <c r="Q48" s="1174"/>
      <c r="R48" s="245"/>
      <c r="S48" s="225"/>
      <c r="T48" s="243"/>
      <c r="U48" s="225"/>
      <c r="V48" s="229"/>
    </row>
    <row r="49" spans="2:22" ht="15" customHeight="1" thickBot="1" x14ac:dyDescent="0.2">
      <c r="B49" s="1198"/>
      <c r="C49" s="138" t="s">
        <v>152</v>
      </c>
      <c r="D49" s="139"/>
      <c r="E49" s="139"/>
      <c r="F49" s="139"/>
      <c r="G49" s="140">
        <f>SUM(G39:G48)</f>
        <v>80130</v>
      </c>
      <c r="H49" s="146"/>
      <c r="I49" s="1200"/>
      <c r="J49" s="144"/>
      <c r="K49" s="1184"/>
      <c r="L49" s="1184"/>
      <c r="M49" s="280"/>
      <c r="N49" s="229"/>
      <c r="O49" s="154"/>
      <c r="P49" s="1177"/>
      <c r="Q49" s="1245"/>
      <c r="R49" s="245"/>
      <c r="S49" s="225"/>
      <c r="T49" s="225"/>
      <c r="U49" s="144"/>
      <c r="V49" s="246"/>
    </row>
    <row r="50" spans="2:22" ht="15" customHeight="1" thickTop="1" thickBot="1" x14ac:dyDescent="0.2">
      <c r="B50" s="1196" t="s">
        <v>32</v>
      </c>
      <c r="C50" s="264" t="s">
        <v>764</v>
      </c>
      <c r="D50" s="303">
        <v>0.8</v>
      </c>
      <c r="E50" s="265" t="s">
        <v>643</v>
      </c>
      <c r="F50" s="264">
        <v>29604</v>
      </c>
      <c r="G50" s="135">
        <f t="shared" si="14"/>
        <v>23683.200000000001</v>
      </c>
      <c r="H50" s="146"/>
      <c r="I50" s="1218"/>
      <c r="J50" s="222" t="s">
        <v>152</v>
      </c>
      <c r="K50" s="1215"/>
      <c r="L50" s="1216"/>
      <c r="M50" s="223"/>
      <c r="N50" s="228">
        <f>SUM(N47:N49)</f>
        <v>0</v>
      </c>
      <c r="O50" s="154"/>
      <c r="P50" s="1177"/>
      <c r="Q50" s="230" t="s">
        <v>225</v>
      </c>
      <c r="R50" s="231"/>
      <c r="S50" s="231"/>
      <c r="T50" s="231"/>
      <c r="U50" s="231"/>
      <c r="V50" s="232">
        <f>SUM(V45:V49)</f>
        <v>520</v>
      </c>
    </row>
    <row r="51" spans="2:22" ht="15" customHeight="1" thickTop="1" x14ac:dyDescent="0.15">
      <c r="B51" s="985"/>
      <c r="C51" s="264" t="s">
        <v>766</v>
      </c>
      <c r="D51" s="282">
        <v>1</v>
      </c>
      <c r="E51" s="265" t="s">
        <v>643</v>
      </c>
      <c r="F51" s="264">
        <v>12133</v>
      </c>
      <c r="G51" s="135">
        <f t="shared" si="14"/>
        <v>12133</v>
      </c>
      <c r="H51" s="146"/>
      <c r="I51" s="1199" t="s">
        <v>218</v>
      </c>
      <c r="J51" s="224"/>
      <c r="K51" s="1201"/>
      <c r="L51" s="1202"/>
      <c r="M51" s="233"/>
      <c r="N51" s="241"/>
      <c r="O51" s="154"/>
      <c r="P51" s="1177"/>
      <c r="Q51" s="1173" t="s">
        <v>235</v>
      </c>
      <c r="R51" s="245" t="s">
        <v>229</v>
      </c>
      <c r="S51" s="225">
        <v>25000</v>
      </c>
      <c r="T51" s="243">
        <v>1</v>
      </c>
      <c r="U51" s="568">
        <v>30</v>
      </c>
      <c r="V51" s="229">
        <f>+S51*T51/U51</f>
        <v>833.33333333333337</v>
      </c>
    </row>
    <row r="52" spans="2:22" ht="15" customHeight="1" x14ac:dyDescent="0.15">
      <c r="B52" s="985"/>
      <c r="C52" s="264" t="s">
        <v>768</v>
      </c>
      <c r="D52" s="264">
        <v>10</v>
      </c>
      <c r="E52" s="265" t="s">
        <v>647</v>
      </c>
      <c r="F52" s="264">
        <v>1196</v>
      </c>
      <c r="G52" s="135">
        <f t="shared" si="14"/>
        <v>11960</v>
      </c>
      <c r="H52" s="146"/>
      <c r="I52" s="1200"/>
      <c r="J52" s="225"/>
      <c r="K52" s="1209"/>
      <c r="L52" s="1210"/>
      <c r="M52" s="234"/>
      <c r="N52" s="229"/>
      <c r="O52" s="154"/>
      <c r="P52" s="1177"/>
      <c r="Q52" s="1174"/>
      <c r="R52" s="245"/>
      <c r="S52" s="225"/>
      <c r="T52" s="243"/>
      <c r="U52" s="225"/>
      <c r="V52" s="229"/>
    </row>
    <row r="53" spans="2:22" ht="15" customHeight="1" thickBot="1" x14ac:dyDescent="0.2">
      <c r="B53" s="1198"/>
      <c r="C53" s="138" t="s">
        <v>152</v>
      </c>
      <c r="D53" s="139"/>
      <c r="E53" s="139"/>
      <c r="F53" s="139"/>
      <c r="G53" s="140">
        <f>SUM(G50:G52)</f>
        <v>47776.2</v>
      </c>
      <c r="I53" s="1200"/>
      <c r="J53" s="225"/>
      <c r="K53" s="1209"/>
      <c r="L53" s="1210"/>
      <c r="M53" s="234"/>
      <c r="N53" s="229"/>
      <c r="O53" s="154"/>
      <c r="P53" s="1177"/>
      <c r="Q53" s="1174"/>
      <c r="R53" s="245"/>
      <c r="S53" s="225"/>
      <c r="T53" s="225"/>
      <c r="U53" s="144"/>
      <c r="V53" s="246"/>
    </row>
    <row r="54" spans="2:22" ht="14.25" customHeight="1" thickTop="1" x14ac:dyDescent="0.15">
      <c r="B54" s="1196" t="s">
        <v>166</v>
      </c>
      <c r="C54" s="264" t="s">
        <v>778</v>
      </c>
      <c r="D54" s="303">
        <v>3.6</v>
      </c>
      <c r="E54" s="265" t="s">
        <v>153</v>
      </c>
      <c r="F54" s="264">
        <v>11526</v>
      </c>
      <c r="G54" s="135">
        <f>D54*F54</f>
        <v>41493.599999999999</v>
      </c>
      <c r="I54" s="1200"/>
      <c r="J54" s="280" t="s">
        <v>229</v>
      </c>
      <c r="K54" s="1211">
        <v>5000</v>
      </c>
      <c r="L54" s="1212"/>
      <c r="M54" s="569">
        <v>30</v>
      </c>
      <c r="N54" s="229">
        <f>+K54/M54</f>
        <v>166.66666666666666</v>
      </c>
      <c r="O54" s="154"/>
      <c r="P54" s="1177"/>
      <c r="Q54" s="1174"/>
      <c r="R54" s="245"/>
      <c r="S54" s="225"/>
      <c r="T54" s="243"/>
      <c r="U54" s="225"/>
      <c r="V54" s="229"/>
    </row>
    <row r="55" spans="2:22" x14ac:dyDescent="0.15">
      <c r="B55" s="985"/>
      <c r="C55" s="264"/>
      <c r="D55" s="264"/>
      <c r="E55" s="265"/>
      <c r="F55" s="264"/>
      <c r="G55" s="135">
        <f>D55*F55</f>
        <v>0</v>
      </c>
      <c r="I55" s="1200"/>
      <c r="J55" s="225"/>
      <c r="K55" s="1209"/>
      <c r="L55" s="1210"/>
      <c r="M55" s="234"/>
      <c r="N55" s="304"/>
      <c r="O55" s="154"/>
      <c r="P55" s="1177"/>
      <c r="Q55" s="1245"/>
      <c r="R55" s="245"/>
      <c r="S55" s="225"/>
      <c r="T55" s="225"/>
      <c r="U55" s="144"/>
      <c r="V55" s="246"/>
    </row>
    <row r="56" spans="2:22" x14ac:dyDescent="0.15">
      <c r="B56" s="985"/>
      <c r="C56" s="264"/>
      <c r="D56" s="264"/>
      <c r="E56" s="265"/>
      <c r="F56" s="264"/>
      <c r="G56" s="135">
        <f>D56*F56</f>
        <v>0</v>
      </c>
      <c r="I56" s="1166"/>
      <c r="J56" s="305" t="s">
        <v>152</v>
      </c>
      <c r="K56" s="1213"/>
      <c r="L56" s="1214"/>
      <c r="M56" s="306"/>
      <c r="N56" s="307">
        <f>SUM(N51:N55)</f>
        <v>166.66666666666666</v>
      </c>
      <c r="O56" s="154"/>
      <c r="P56" s="1246"/>
      <c r="Q56" s="249" t="s">
        <v>225</v>
      </c>
      <c r="R56" s="250"/>
      <c r="S56" s="250"/>
      <c r="T56" s="250"/>
      <c r="U56" s="250"/>
      <c r="V56" s="251">
        <f>SUM(V51:V55)</f>
        <v>833.33333333333337</v>
      </c>
    </row>
    <row r="57" spans="2:22" ht="14.25" thickBot="1" x14ac:dyDescent="0.2">
      <c r="B57" s="1197"/>
      <c r="C57" s="141" t="s">
        <v>154</v>
      </c>
      <c r="D57" s="142"/>
      <c r="E57" s="142"/>
      <c r="F57" s="142"/>
      <c r="G57" s="143">
        <f>SUM(G54:G56)</f>
        <v>41493.599999999999</v>
      </c>
      <c r="I57" s="1205" t="s">
        <v>219</v>
      </c>
      <c r="J57" s="1206"/>
      <c r="K57" s="1207"/>
      <c r="L57" s="1208"/>
      <c r="M57" s="157"/>
      <c r="N57" s="248">
        <f>SUM(N42,N46,N50,N56)</f>
        <v>605.73333333333323</v>
      </c>
      <c r="O57" s="154"/>
      <c r="P57" s="1243" t="s">
        <v>219</v>
      </c>
      <c r="Q57" s="1244"/>
      <c r="R57" s="247"/>
      <c r="S57" s="247"/>
      <c r="T57" s="247"/>
      <c r="U57" s="247"/>
      <c r="V57" s="248">
        <f>SUM(V44,V50,V56)</f>
        <v>1353.3333333333335</v>
      </c>
    </row>
    <row r="58" spans="2:22" x14ac:dyDescent="0.15">
      <c r="O58" s="154"/>
      <c r="V58" s="43"/>
    </row>
    <row r="59" spans="2:22" x14ac:dyDescent="0.15">
      <c r="I59" s="154"/>
      <c r="J59" s="154"/>
      <c r="K59" s="154"/>
      <c r="L59" s="154"/>
      <c r="M59" s="154"/>
      <c r="N59" s="154"/>
      <c r="O59" s="154"/>
    </row>
    <row r="60" spans="2:22" x14ac:dyDescent="0.15">
      <c r="I60" s="154"/>
      <c r="J60" s="154"/>
      <c r="K60" s="154"/>
      <c r="L60" s="154"/>
      <c r="M60" s="154"/>
      <c r="N60" s="154"/>
      <c r="O60" s="154"/>
    </row>
    <row r="61" spans="2:22" x14ac:dyDescent="0.15">
      <c r="I61" s="154"/>
      <c r="J61" s="154"/>
      <c r="K61" s="154"/>
      <c r="L61" s="154"/>
      <c r="M61" s="154"/>
      <c r="N61" s="154"/>
      <c r="O61" s="154"/>
    </row>
    <row r="62" spans="2:22" x14ac:dyDescent="0.15">
      <c r="I62" s="154"/>
      <c r="J62" s="154"/>
      <c r="K62" s="154"/>
      <c r="L62" s="154"/>
      <c r="M62" s="154"/>
      <c r="N62" s="154"/>
      <c r="O62" s="154"/>
    </row>
    <row r="63" spans="2:22" x14ac:dyDescent="0.15">
      <c r="I63" s="154"/>
      <c r="J63" s="154"/>
      <c r="K63" s="154"/>
      <c r="L63" s="154"/>
      <c r="M63" s="154"/>
      <c r="N63" s="154"/>
      <c r="O63" s="154"/>
    </row>
    <row r="64" spans="2:22" x14ac:dyDescent="0.15">
      <c r="I64" s="154"/>
      <c r="J64" s="154"/>
      <c r="K64" s="154"/>
      <c r="L64" s="154"/>
      <c r="M64" s="154"/>
      <c r="N64" s="154"/>
      <c r="O64" s="154"/>
    </row>
    <row r="65" spans="9:15" s="43" customFormat="1" x14ac:dyDescent="0.15">
      <c r="I65" s="154"/>
      <c r="J65" s="154"/>
      <c r="K65" s="154"/>
      <c r="L65" s="154"/>
      <c r="M65" s="154"/>
      <c r="N65" s="154"/>
      <c r="O65" s="154"/>
    </row>
    <row r="66" spans="9:15" s="43" customFormat="1" x14ac:dyDescent="0.15">
      <c r="I66" s="154"/>
      <c r="J66" s="154"/>
      <c r="K66" s="154"/>
      <c r="L66" s="154"/>
      <c r="M66" s="154"/>
      <c r="N66" s="154"/>
      <c r="O66" s="154"/>
    </row>
    <row r="67" spans="9:15" s="43" customFormat="1" x14ac:dyDescent="0.15">
      <c r="I67" s="154"/>
      <c r="J67" s="154"/>
      <c r="K67" s="154"/>
      <c r="L67" s="154"/>
      <c r="M67" s="154"/>
      <c r="N67" s="154"/>
      <c r="O67" s="154"/>
    </row>
    <row r="68" spans="9:15" s="43" customFormat="1" x14ac:dyDescent="0.15">
      <c r="I68" s="154"/>
      <c r="J68" s="154"/>
      <c r="K68" s="154"/>
      <c r="L68" s="154"/>
      <c r="M68" s="154"/>
      <c r="N68" s="154"/>
      <c r="O68" s="154"/>
    </row>
    <row r="69" spans="9:15" s="43" customFormat="1" x14ac:dyDescent="0.15">
      <c r="I69" s="154"/>
      <c r="J69" s="154"/>
      <c r="K69" s="154"/>
      <c r="L69" s="154"/>
      <c r="M69" s="154"/>
      <c r="N69" s="154"/>
      <c r="O69" s="154"/>
    </row>
    <row r="70" spans="9:15" s="43" customFormat="1" x14ac:dyDescent="0.15">
      <c r="I70" s="154"/>
      <c r="J70" s="154"/>
      <c r="K70" s="154"/>
      <c r="L70" s="154"/>
      <c r="M70" s="154"/>
      <c r="N70" s="154"/>
      <c r="O70" s="154"/>
    </row>
    <row r="71" spans="9:15" s="43" customFormat="1" x14ac:dyDescent="0.15">
      <c r="I71" s="154"/>
      <c r="J71" s="154"/>
      <c r="K71" s="154"/>
      <c r="L71" s="154"/>
      <c r="M71" s="154"/>
      <c r="N71" s="154"/>
      <c r="O71" s="154"/>
    </row>
    <row r="72" spans="9:15" s="43" customFormat="1" x14ac:dyDescent="0.15">
      <c r="I72" s="154"/>
      <c r="J72" s="154"/>
      <c r="K72" s="154"/>
      <c r="L72" s="154"/>
      <c r="M72" s="154"/>
      <c r="N72" s="154"/>
      <c r="O72" s="154"/>
    </row>
    <row r="73" spans="9:15" s="43" customFormat="1" x14ac:dyDescent="0.15">
      <c r="I73" s="154"/>
      <c r="J73" s="154"/>
      <c r="K73" s="154"/>
      <c r="L73" s="154"/>
      <c r="M73" s="154"/>
      <c r="N73" s="154"/>
      <c r="O73" s="154"/>
    </row>
    <row r="74" spans="9:15" s="43" customFormat="1" x14ac:dyDescent="0.15">
      <c r="I74" s="154"/>
      <c r="J74" s="154"/>
      <c r="K74" s="154"/>
      <c r="L74" s="154"/>
      <c r="M74" s="154"/>
      <c r="N74" s="154"/>
      <c r="O74" s="154"/>
    </row>
    <row r="75" spans="9:15" s="43" customFormat="1" x14ac:dyDescent="0.15">
      <c r="I75" s="154"/>
      <c r="J75" s="154"/>
      <c r="K75" s="154"/>
      <c r="L75" s="154"/>
      <c r="M75" s="154"/>
      <c r="N75" s="154"/>
      <c r="O75" s="154"/>
    </row>
    <row r="76" spans="9:15" s="43" customFormat="1" x14ac:dyDescent="0.15">
      <c r="I76" s="154"/>
      <c r="J76" s="154"/>
      <c r="K76" s="154"/>
      <c r="L76" s="154"/>
      <c r="M76" s="154"/>
      <c r="N76" s="154"/>
      <c r="O76" s="154"/>
    </row>
    <row r="77" spans="9:15" s="43" customFormat="1" x14ac:dyDescent="0.15">
      <c r="I77" s="154"/>
      <c r="J77" s="154"/>
      <c r="K77" s="154"/>
      <c r="L77" s="154"/>
      <c r="M77" s="154"/>
      <c r="N77" s="154"/>
      <c r="O77" s="154"/>
    </row>
    <row r="78" spans="9:15" s="43" customFormat="1" x14ac:dyDescent="0.15">
      <c r="I78" s="154"/>
      <c r="J78" s="154"/>
      <c r="K78" s="154"/>
      <c r="L78" s="154"/>
      <c r="M78" s="154"/>
      <c r="N78" s="154"/>
      <c r="O78" s="154"/>
    </row>
    <row r="79" spans="9:15" s="43" customFormat="1" x14ac:dyDescent="0.15">
      <c r="I79" s="154"/>
      <c r="J79" s="154"/>
      <c r="K79" s="154"/>
      <c r="L79" s="154"/>
      <c r="M79" s="154"/>
      <c r="N79" s="154"/>
      <c r="O79" s="154"/>
    </row>
    <row r="80" spans="9:15" s="43" customFormat="1" x14ac:dyDescent="0.15">
      <c r="I80" s="154"/>
      <c r="J80" s="154"/>
      <c r="K80" s="154"/>
      <c r="L80" s="154"/>
      <c r="M80" s="154"/>
      <c r="N80" s="154"/>
      <c r="O80" s="154"/>
    </row>
    <row r="81" spans="2:15" s="43" customFormat="1" x14ac:dyDescent="0.15">
      <c r="H81" s="154"/>
      <c r="I81" s="154"/>
      <c r="J81" s="154"/>
      <c r="K81" s="154"/>
      <c r="L81" s="154"/>
      <c r="M81" s="154"/>
      <c r="N81" s="154"/>
      <c r="O81" s="154"/>
    </row>
    <row r="82" spans="2:15" s="43" customFormat="1" x14ac:dyDescent="0.15">
      <c r="H82" s="154"/>
      <c r="I82" s="154"/>
      <c r="J82" s="154"/>
      <c r="K82" s="154"/>
      <c r="L82" s="154"/>
      <c r="M82" s="154"/>
      <c r="N82" s="154"/>
      <c r="O82" s="154"/>
    </row>
    <row r="83" spans="2:15" s="43" customFormat="1" x14ac:dyDescent="0.15">
      <c r="B83" s="145"/>
      <c r="C83" s="146"/>
      <c r="D83" s="146"/>
      <c r="E83" s="146"/>
      <c r="F83" s="146"/>
      <c r="H83" s="154"/>
      <c r="I83" s="154"/>
      <c r="J83" s="154"/>
      <c r="K83" s="154"/>
      <c r="L83" s="154"/>
      <c r="M83" s="154"/>
      <c r="N83" s="154"/>
      <c r="O83" s="154"/>
    </row>
    <row r="84" spans="2:15" s="43" customFormat="1" x14ac:dyDescent="0.15">
      <c r="B84" s="145"/>
      <c r="C84" s="146"/>
      <c r="D84" s="146"/>
      <c r="E84" s="146"/>
      <c r="F84" s="146"/>
      <c r="H84" s="154"/>
      <c r="I84" s="154"/>
      <c r="J84" s="154"/>
      <c r="K84" s="154"/>
      <c r="L84" s="154"/>
      <c r="M84" s="154"/>
      <c r="N84" s="154"/>
      <c r="O84" s="154"/>
    </row>
    <row r="85" spans="2:15" s="43" customFormat="1" x14ac:dyDescent="0.15">
      <c r="H85" s="154"/>
      <c r="I85" s="154"/>
      <c r="J85" s="154"/>
      <c r="K85" s="154"/>
      <c r="L85" s="154"/>
      <c r="M85" s="154"/>
      <c r="N85" s="154"/>
      <c r="O85" s="154"/>
    </row>
    <row r="86" spans="2:15" s="43" customFormat="1" x14ac:dyDescent="0.15">
      <c r="H86" s="154"/>
      <c r="I86" s="154"/>
      <c r="J86" s="154"/>
      <c r="K86" s="154"/>
      <c r="L86" s="154"/>
      <c r="M86" s="154"/>
      <c r="N86" s="154"/>
      <c r="O86" s="154"/>
    </row>
    <row r="87" spans="2:15" s="43" customFormat="1" x14ac:dyDescent="0.15">
      <c r="H87" s="154"/>
      <c r="I87" s="154"/>
      <c r="J87" s="154"/>
      <c r="K87" s="154"/>
      <c r="L87" s="154"/>
      <c r="M87" s="154"/>
      <c r="N87" s="154"/>
      <c r="O87" s="154"/>
    </row>
    <row r="88" spans="2:15" s="43" customFormat="1" x14ac:dyDescent="0.15">
      <c r="H88" s="154"/>
      <c r="I88" s="154"/>
      <c r="J88" s="154"/>
      <c r="K88" s="154"/>
      <c r="L88" s="154"/>
      <c r="M88" s="154"/>
      <c r="N88" s="154"/>
      <c r="O88" s="154"/>
    </row>
    <row r="89" spans="2:15" s="43" customFormat="1" x14ac:dyDescent="0.15">
      <c r="H89" s="154"/>
      <c r="I89" s="154"/>
      <c r="J89" s="154"/>
      <c r="K89" s="154"/>
      <c r="L89" s="154"/>
      <c r="M89" s="154"/>
      <c r="N89" s="154"/>
      <c r="O89" s="154"/>
    </row>
    <row r="90" spans="2:15" s="43" customFormat="1" x14ac:dyDescent="0.15">
      <c r="H90" s="154"/>
      <c r="I90" s="154"/>
      <c r="J90" s="154"/>
      <c r="K90" s="154"/>
      <c r="L90" s="154"/>
      <c r="M90" s="154"/>
      <c r="N90" s="154"/>
      <c r="O90" s="154"/>
    </row>
    <row r="91" spans="2:15" s="43" customFormat="1" x14ac:dyDescent="0.15">
      <c r="H91" s="154"/>
      <c r="I91" s="154"/>
      <c r="J91" s="154"/>
      <c r="K91" s="154"/>
      <c r="L91" s="154"/>
      <c r="M91" s="154"/>
      <c r="N91" s="154"/>
      <c r="O91" s="154"/>
    </row>
    <row r="92" spans="2:15" s="43" customFormat="1" x14ac:dyDescent="0.15">
      <c r="H92" s="154"/>
      <c r="I92" s="154"/>
      <c r="J92" s="154"/>
      <c r="K92" s="154"/>
      <c r="L92" s="154"/>
      <c r="M92" s="154"/>
      <c r="N92" s="154"/>
      <c r="O92" s="154"/>
    </row>
    <row r="93" spans="2:15" s="43" customFormat="1" x14ac:dyDescent="0.15">
      <c r="H93" s="154"/>
      <c r="I93" s="154"/>
      <c r="J93" s="154"/>
      <c r="K93" s="154"/>
      <c r="L93" s="154"/>
      <c r="M93" s="154"/>
      <c r="N93" s="154"/>
      <c r="O93" s="154"/>
    </row>
    <row r="94" spans="2:15" s="43" customFormat="1" x14ac:dyDescent="0.15">
      <c r="H94" s="154"/>
      <c r="I94" s="154"/>
      <c r="J94" s="154"/>
      <c r="K94" s="154"/>
      <c r="L94" s="154"/>
      <c r="M94" s="154"/>
      <c r="N94" s="154"/>
      <c r="O94" s="154"/>
    </row>
    <row r="95" spans="2:15" s="43" customFormat="1" x14ac:dyDescent="0.15">
      <c r="H95" s="154"/>
      <c r="I95" s="154"/>
      <c r="J95" s="154"/>
      <c r="K95" s="154"/>
      <c r="L95" s="154"/>
      <c r="M95" s="154"/>
      <c r="N95" s="154"/>
      <c r="O95" s="154"/>
    </row>
    <row r="96" spans="2:15" s="43" customFormat="1" x14ac:dyDescent="0.15">
      <c r="H96" s="154"/>
      <c r="I96" s="154"/>
      <c r="J96" s="154"/>
      <c r="K96" s="154"/>
      <c r="L96" s="154"/>
      <c r="M96" s="154"/>
      <c r="N96" s="154"/>
      <c r="O96" s="154"/>
    </row>
    <row r="97" spans="9:15" s="43" customFormat="1" x14ac:dyDescent="0.15">
      <c r="I97" s="154"/>
      <c r="J97" s="154"/>
      <c r="K97" s="154"/>
      <c r="L97" s="154"/>
      <c r="M97" s="154"/>
      <c r="N97" s="154"/>
      <c r="O97" s="154"/>
    </row>
    <row r="98" spans="9:15" s="43" customFormat="1" x14ac:dyDescent="0.15">
      <c r="I98" s="154"/>
      <c r="J98" s="154"/>
      <c r="K98" s="154"/>
      <c r="L98" s="154"/>
      <c r="M98" s="154"/>
      <c r="N98" s="154"/>
      <c r="O98" s="154"/>
    </row>
    <row r="99" spans="9:15" s="43" customFormat="1" x14ac:dyDescent="0.15">
      <c r="I99" s="154"/>
      <c r="J99" s="154"/>
      <c r="K99" s="154"/>
      <c r="L99" s="154"/>
      <c r="M99" s="154"/>
      <c r="N99" s="154"/>
      <c r="O99" s="154"/>
    </row>
    <row r="100" spans="9:15" s="43" customFormat="1" x14ac:dyDescent="0.15">
      <c r="I100" s="154"/>
      <c r="J100" s="154"/>
      <c r="K100" s="154"/>
      <c r="L100" s="154"/>
      <c r="M100" s="154"/>
      <c r="N100" s="154"/>
      <c r="O100" s="154"/>
    </row>
    <row r="101" spans="9:15" s="43" customFormat="1" x14ac:dyDescent="0.15">
      <c r="I101" s="154"/>
      <c r="J101" s="154"/>
      <c r="K101" s="154"/>
      <c r="L101" s="154"/>
      <c r="M101" s="154"/>
      <c r="N101" s="154"/>
      <c r="O101" s="154"/>
    </row>
    <row r="102" spans="9:15" s="43" customFormat="1" x14ac:dyDescent="0.15">
      <c r="I102" s="154"/>
      <c r="J102" s="154"/>
      <c r="K102" s="154"/>
      <c r="L102" s="154"/>
      <c r="M102" s="154"/>
      <c r="N102" s="154"/>
      <c r="O102" s="154"/>
    </row>
    <row r="103" spans="9:15" s="43" customFormat="1" x14ac:dyDescent="0.15">
      <c r="I103" s="154"/>
      <c r="J103" s="154"/>
      <c r="K103" s="154"/>
      <c r="L103" s="154"/>
      <c r="M103" s="154"/>
      <c r="N103" s="154"/>
      <c r="O103" s="154"/>
    </row>
    <row r="104" spans="9:15" s="43" customFormat="1" x14ac:dyDescent="0.15">
      <c r="I104" s="154"/>
      <c r="J104" s="154"/>
      <c r="K104" s="154"/>
      <c r="L104" s="154"/>
      <c r="M104" s="154"/>
      <c r="N104" s="154"/>
      <c r="O104" s="154"/>
    </row>
    <row r="105" spans="9:15" s="43" customFormat="1" x14ac:dyDescent="0.15">
      <c r="I105" s="154"/>
      <c r="J105" s="154"/>
      <c r="K105" s="154"/>
      <c r="L105" s="154"/>
      <c r="M105" s="154"/>
      <c r="N105" s="154"/>
      <c r="O105" s="154"/>
    </row>
    <row r="106" spans="9:15" s="43" customFormat="1" x14ac:dyDescent="0.15">
      <c r="I106" s="154"/>
      <c r="J106" s="154"/>
      <c r="K106" s="154"/>
      <c r="L106" s="154"/>
      <c r="M106" s="154"/>
      <c r="N106" s="154"/>
      <c r="O106" s="154"/>
    </row>
    <row r="107" spans="9:15" s="43" customFormat="1" x14ac:dyDescent="0.15">
      <c r="I107" s="154"/>
      <c r="J107" s="154"/>
      <c r="K107" s="154"/>
      <c r="L107" s="154"/>
      <c r="M107" s="154"/>
      <c r="N107" s="154"/>
      <c r="O107" s="154"/>
    </row>
    <row r="108" spans="9:15" s="43" customFormat="1" x14ac:dyDescent="0.15">
      <c r="I108" s="154"/>
      <c r="J108" s="154"/>
      <c r="K108" s="154"/>
      <c r="L108" s="154"/>
      <c r="M108" s="154"/>
      <c r="N108" s="154"/>
      <c r="O108" s="154"/>
    </row>
    <row r="109" spans="9:15" s="43" customFormat="1" x14ac:dyDescent="0.15">
      <c r="I109" s="154"/>
      <c r="J109" s="154"/>
      <c r="K109" s="154"/>
      <c r="L109" s="154"/>
      <c r="M109" s="154"/>
      <c r="N109" s="154"/>
      <c r="O109" s="154"/>
    </row>
    <row r="110" spans="9:15" s="43" customFormat="1" x14ac:dyDescent="0.15">
      <c r="I110" s="154"/>
      <c r="J110" s="154"/>
      <c r="K110" s="154"/>
      <c r="L110" s="154"/>
      <c r="M110" s="154"/>
      <c r="N110" s="154"/>
      <c r="O110" s="154"/>
    </row>
    <row r="111" spans="9:15" s="43" customFormat="1" x14ac:dyDescent="0.15">
      <c r="I111" s="154"/>
      <c r="J111" s="154"/>
      <c r="K111" s="154"/>
      <c r="L111" s="154"/>
      <c r="M111" s="154"/>
      <c r="N111" s="154"/>
      <c r="O111" s="154"/>
    </row>
    <row r="112" spans="9:15" s="43" customFormat="1" x14ac:dyDescent="0.15">
      <c r="I112" s="154"/>
      <c r="J112" s="154"/>
      <c r="K112" s="154"/>
      <c r="L112" s="154"/>
      <c r="M112" s="154"/>
      <c r="N112" s="154"/>
      <c r="O112" s="154"/>
    </row>
    <row r="113" spans="9:15" s="43" customFormat="1" x14ac:dyDescent="0.15">
      <c r="I113" s="154"/>
      <c r="J113" s="154"/>
      <c r="K113" s="154"/>
      <c r="L113" s="154"/>
      <c r="M113" s="154"/>
      <c r="N113" s="154"/>
      <c r="O113" s="154"/>
    </row>
    <row r="114" spans="9:15" s="43" customFormat="1" x14ac:dyDescent="0.15">
      <c r="I114" s="154"/>
      <c r="J114" s="154"/>
      <c r="K114" s="154"/>
      <c r="L114" s="154"/>
      <c r="M114" s="154"/>
      <c r="N114" s="154"/>
      <c r="O114" s="154"/>
    </row>
    <row r="115" spans="9:15" s="43" customFormat="1" x14ac:dyDescent="0.15">
      <c r="I115" s="154"/>
      <c r="J115" s="154"/>
      <c r="K115" s="154"/>
      <c r="L115" s="154"/>
      <c r="M115" s="154"/>
      <c r="N115" s="154"/>
      <c r="O115" s="154"/>
    </row>
    <row r="116" spans="9:15" s="43" customFormat="1" x14ac:dyDescent="0.15">
      <c r="I116" s="154"/>
      <c r="J116" s="154"/>
      <c r="K116" s="154"/>
      <c r="L116" s="154"/>
      <c r="M116" s="154"/>
      <c r="N116" s="154"/>
      <c r="O116" s="154"/>
    </row>
    <row r="117" spans="9:15" s="43" customFormat="1" x14ac:dyDescent="0.15">
      <c r="I117" s="154"/>
      <c r="J117" s="154"/>
      <c r="K117" s="154"/>
      <c r="L117" s="154"/>
      <c r="M117" s="154"/>
      <c r="N117" s="154"/>
      <c r="O117" s="154"/>
    </row>
    <row r="118" spans="9:15" s="43" customFormat="1" x14ac:dyDescent="0.15">
      <c r="I118" s="154"/>
      <c r="J118" s="154"/>
      <c r="K118" s="154"/>
      <c r="L118" s="154"/>
      <c r="M118" s="154"/>
      <c r="N118" s="154"/>
      <c r="O118" s="154"/>
    </row>
    <row r="119" spans="9:15" s="43" customFormat="1" x14ac:dyDescent="0.15">
      <c r="I119" s="154"/>
      <c r="J119" s="154"/>
      <c r="K119" s="154"/>
      <c r="L119" s="154"/>
      <c r="M119" s="154"/>
      <c r="N119" s="154"/>
      <c r="O119" s="154"/>
    </row>
    <row r="120" spans="9:15" s="43" customFormat="1" x14ac:dyDescent="0.15">
      <c r="I120" s="154"/>
      <c r="J120" s="154"/>
      <c r="K120" s="154"/>
      <c r="L120" s="154"/>
      <c r="M120" s="154"/>
      <c r="N120" s="154"/>
      <c r="O120" s="154"/>
    </row>
    <row r="121" spans="9:15" s="43" customFormat="1" x14ac:dyDescent="0.15">
      <c r="I121" s="154"/>
      <c r="J121" s="154"/>
      <c r="K121" s="154"/>
      <c r="L121" s="154"/>
      <c r="M121" s="154"/>
      <c r="N121" s="154"/>
      <c r="O121" s="154"/>
    </row>
    <row r="122" spans="9:15" s="43" customFormat="1" x14ac:dyDescent="0.15">
      <c r="I122" s="154"/>
      <c r="J122" s="154"/>
      <c r="K122" s="154"/>
      <c r="L122" s="154"/>
      <c r="M122" s="154"/>
      <c r="N122" s="154"/>
      <c r="O122" s="154"/>
    </row>
    <row r="123" spans="9:15" s="43" customFormat="1" x14ac:dyDescent="0.15">
      <c r="I123" s="154"/>
      <c r="J123" s="154"/>
      <c r="K123" s="154"/>
      <c r="L123" s="154"/>
      <c r="M123" s="154"/>
      <c r="N123" s="154"/>
      <c r="O123" s="154"/>
    </row>
    <row r="124" spans="9:15" s="43" customFormat="1" x14ac:dyDescent="0.15">
      <c r="I124" s="154"/>
      <c r="J124" s="154"/>
      <c r="K124" s="154"/>
      <c r="L124" s="154"/>
      <c r="M124" s="154"/>
      <c r="N124" s="154"/>
      <c r="O124" s="154"/>
    </row>
    <row r="125" spans="9:15" s="43" customFormat="1" x14ac:dyDescent="0.15">
      <c r="I125" s="154"/>
      <c r="J125" s="154"/>
      <c r="K125" s="154"/>
      <c r="L125" s="154"/>
      <c r="M125" s="154"/>
      <c r="N125" s="154"/>
      <c r="O125" s="154"/>
    </row>
    <row r="126" spans="9:15" s="43" customFormat="1" x14ac:dyDescent="0.15">
      <c r="I126" s="154"/>
      <c r="J126" s="154"/>
      <c r="K126" s="154"/>
      <c r="L126" s="154"/>
      <c r="M126" s="154"/>
      <c r="N126" s="154"/>
      <c r="O126" s="154"/>
    </row>
    <row r="127" spans="9:15" s="43" customFormat="1" x14ac:dyDescent="0.15">
      <c r="I127" s="154"/>
      <c r="J127" s="154"/>
      <c r="K127" s="154"/>
      <c r="L127" s="154"/>
      <c r="M127" s="154"/>
      <c r="N127" s="154"/>
      <c r="O127" s="154"/>
    </row>
    <row r="128" spans="9:15" s="43" customFormat="1" x14ac:dyDescent="0.15">
      <c r="I128" s="154"/>
      <c r="J128" s="154"/>
      <c r="K128" s="154"/>
      <c r="L128" s="154"/>
      <c r="M128" s="154"/>
      <c r="N128" s="154"/>
      <c r="O128" s="154"/>
    </row>
    <row r="129" spans="9:15" s="43" customFormat="1" x14ac:dyDescent="0.15">
      <c r="I129" s="154"/>
      <c r="J129" s="154"/>
      <c r="K129" s="154"/>
      <c r="L129" s="154"/>
      <c r="M129" s="154"/>
      <c r="N129" s="154"/>
      <c r="O129" s="154"/>
    </row>
    <row r="130" spans="9:15" s="43" customFormat="1" x14ac:dyDescent="0.15">
      <c r="I130" s="154"/>
      <c r="J130" s="154"/>
      <c r="K130" s="154"/>
      <c r="L130" s="154"/>
      <c r="M130" s="154"/>
      <c r="N130" s="154"/>
      <c r="O130" s="154"/>
    </row>
    <row r="131" spans="9:15" s="43" customFormat="1" x14ac:dyDescent="0.15">
      <c r="I131" s="154"/>
      <c r="J131" s="154"/>
      <c r="K131" s="154"/>
      <c r="L131" s="154"/>
      <c r="M131" s="154"/>
      <c r="N131" s="154"/>
      <c r="O131" s="154"/>
    </row>
    <row r="132" spans="9:15" s="43" customFormat="1" x14ac:dyDescent="0.15">
      <c r="I132" s="154"/>
      <c r="J132" s="154"/>
      <c r="K132" s="154"/>
      <c r="L132" s="154"/>
      <c r="M132" s="154"/>
      <c r="N132" s="154"/>
      <c r="O132" s="154"/>
    </row>
    <row r="133" spans="9:15" s="43" customFormat="1" x14ac:dyDescent="0.15">
      <c r="I133" s="154"/>
      <c r="J133" s="154"/>
      <c r="K133" s="154"/>
      <c r="L133" s="154"/>
      <c r="M133" s="154"/>
      <c r="N133" s="154"/>
      <c r="O133" s="154"/>
    </row>
    <row r="134" spans="9:15" s="43" customFormat="1" x14ac:dyDescent="0.15">
      <c r="I134" s="154"/>
      <c r="J134" s="154"/>
      <c r="K134" s="154"/>
      <c r="L134" s="154"/>
      <c r="M134" s="154"/>
      <c r="N134" s="154"/>
      <c r="O134" s="154"/>
    </row>
    <row r="135" spans="9:15" s="43" customFormat="1" x14ac:dyDescent="0.15">
      <c r="I135" s="154"/>
      <c r="J135" s="154"/>
      <c r="K135" s="154"/>
      <c r="L135" s="154"/>
      <c r="M135" s="154"/>
      <c r="N135" s="154"/>
      <c r="O135" s="154"/>
    </row>
    <row r="136" spans="9:15" s="43" customFormat="1" x14ac:dyDescent="0.15">
      <c r="I136" s="154"/>
      <c r="J136" s="154"/>
      <c r="K136" s="154"/>
      <c r="L136" s="154"/>
      <c r="M136" s="154"/>
      <c r="N136" s="154"/>
      <c r="O136" s="154"/>
    </row>
    <row r="137" spans="9:15" s="43" customFormat="1" x14ac:dyDescent="0.15">
      <c r="I137" s="154"/>
      <c r="J137" s="154"/>
      <c r="K137" s="154"/>
      <c r="L137" s="154"/>
      <c r="M137" s="154"/>
      <c r="N137" s="154"/>
      <c r="O137" s="154"/>
    </row>
    <row r="138" spans="9:15" s="43" customFormat="1" x14ac:dyDescent="0.15">
      <c r="I138" s="154"/>
      <c r="J138" s="154"/>
      <c r="K138" s="154"/>
      <c r="L138" s="154"/>
      <c r="M138" s="154"/>
      <c r="N138" s="154"/>
      <c r="O138" s="154"/>
    </row>
    <row r="139" spans="9:15" s="43" customFormat="1" x14ac:dyDescent="0.15">
      <c r="I139" s="154"/>
      <c r="J139" s="154"/>
      <c r="K139" s="154"/>
      <c r="L139" s="154"/>
      <c r="M139" s="154"/>
      <c r="N139" s="154"/>
    </row>
    <row r="140" spans="9:15" s="43" customFormat="1" x14ac:dyDescent="0.15">
      <c r="I140" s="154"/>
      <c r="J140" s="154"/>
      <c r="K140" s="154"/>
      <c r="L140" s="154"/>
      <c r="M140" s="154"/>
      <c r="N140" s="154"/>
    </row>
    <row r="141" spans="9:15" s="43" customFormat="1" x14ac:dyDescent="0.15">
      <c r="I141" s="154"/>
      <c r="J141" s="154"/>
      <c r="K141" s="154"/>
      <c r="L141" s="154"/>
      <c r="M141" s="154"/>
      <c r="N141" s="154"/>
    </row>
    <row r="142" spans="9:15" s="43" customFormat="1" x14ac:dyDescent="0.15">
      <c r="I142" s="154"/>
      <c r="J142" s="154"/>
      <c r="K142" s="154"/>
      <c r="L142" s="154"/>
      <c r="M142" s="154"/>
      <c r="N142" s="154"/>
    </row>
    <row r="143" spans="9:15" s="43" customFormat="1" x14ac:dyDescent="0.15">
      <c r="I143" s="154"/>
      <c r="J143" s="154"/>
      <c r="K143" s="154"/>
      <c r="L143" s="154"/>
      <c r="M143" s="154"/>
      <c r="N143" s="154"/>
    </row>
    <row r="144" spans="9:15" s="43" customFormat="1" x14ac:dyDescent="0.15">
      <c r="I144" s="154"/>
      <c r="J144" s="154"/>
      <c r="K144" s="154"/>
      <c r="L144" s="154"/>
      <c r="M144" s="154"/>
      <c r="N144" s="154"/>
    </row>
    <row r="145" spans="8:22" x14ac:dyDescent="0.15">
      <c r="H145" s="43"/>
      <c r="I145" s="154"/>
      <c r="J145" s="154"/>
      <c r="K145" s="154"/>
      <c r="L145" s="154"/>
      <c r="M145" s="154"/>
      <c r="N145" s="154"/>
      <c r="P145" s="43"/>
      <c r="R145" s="43"/>
      <c r="V145" s="43"/>
    </row>
    <row r="146" spans="8:22" x14ac:dyDescent="0.15">
      <c r="H146" s="43"/>
      <c r="I146" s="154"/>
      <c r="J146" s="154"/>
      <c r="K146" s="154"/>
      <c r="L146" s="154"/>
      <c r="M146" s="154"/>
      <c r="N146" s="154"/>
      <c r="P146" s="43"/>
      <c r="R146" s="43"/>
      <c r="V146" s="43"/>
    </row>
    <row r="147" spans="8:22" x14ac:dyDescent="0.15">
      <c r="H147" s="43"/>
      <c r="I147" s="154"/>
      <c r="J147" s="154"/>
      <c r="K147" s="154"/>
      <c r="L147" s="154"/>
      <c r="M147" s="154"/>
      <c r="N147" s="154"/>
      <c r="P147" s="43"/>
      <c r="R147" s="43"/>
      <c r="V147" s="43"/>
    </row>
    <row r="148" spans="8:22" x14ac:dyDescent="0.15">
      <c r="H148" s="43"/>
      <c r="I148" s="154"/>
      <c r="J148" s="154"/>
      <c r="K148" s="154"/>
      <c r="L148" s="154"/>
      <c r="M148" s="154"/>
      <c r="N148" s="154"/>
      <c r="P148" s="43"/>
      <c r="R148" s="43"/>
      <c r="V148" s="43"/>
    </row>
    <row r="149" spans="8:22" x14ac:dyDescent="0.15">
      <c r="H149" s="43"/>
      <c r="I149" s="154"/>
      <c r="J149" s="154"/>
      <c r="K149" s="154"/>
      <c r="L149" s="154"/>
      <c r="M149" s="154"/>
      <c r="N149" s="154"/>
      <c r="P149" s="43"/>
      <c r="R149" s="43"/>
      <c r="V149" s="43"/>
    </row>
    <row r="150" spans="8:22" x14ac:dyDescent="0.15">
      <c r="H150" s="43"/>
      <c r="I150" s="154"/>
      <c r="J150" s="154"/>
      <c r="K150" s="154"/>
      <c r="L150" s="154"/>
      <c r="M150" s="154"/>
      <c r="N150" s="154"/>
      <c r="P150" s="43"/>
      <c r="R150" s="43"/>
      <c r="V150" s="43"/>
    </row>
    <row r="151" spans="8:22" x14ac:dyDescent="0.15">
      <c r="H151" s="43"/>
      <c r="I151" s="154"/>
      <c r="J151" s="154"/>
      <c r="K151" s="154"/>
      <c r="L151" s="154"/>
      <c r="M151" s="154"/>
      <c r="N151" s="154"/>
      <c r="P151" s="43"/>
      <c r="R151" s="43"/>
      <c r="V151" s="43"/>
    </row>
    <row r="152" spans="8:22" x14ac:dyDescent="0.15">
      <c r="H152" s="43"/>
      <c r="I152" s="154"/>
      <c r="J152" s="154"/>
      <c r="K152" s="154"/>
      <c r="L152" s="154"/>
      <c r="M152" s="154"/>
      <c r="N152" s="154"/>
      <c r="P152" s="43"/>
      <c r="R152" s="43"/>
      <c r="V152" s="43"/>
    </row>
    <row r="153" spans="8:22" x14ac:dyDescent="0.15">
      <c r="H153" s="43"/>
      <c r="I153" s="154"/>
      <c r="J153" s="154"/>
      <c r="K153" s="154"/>
      <c r="L153" s="154"/>
      <c r="M153" s="154"/>
      <c r="N153" s="154"/>
      <c r="P153" s="43"/>
      <c r="R153" s="43"/>
      <c r="V153" s="43"/>
    </row>
    <row r="154" spans="8:22" x14ac:dyDescent="0.15">
      <c r="H154" s="43"/>
      <c r="I154" s="154"/>
      <c r="J154" s="154"/>
      <c r="K154" s="154"/>
      <c r="L154" s="154"/>
      <c r="M154" s="154"/>
      <c r="N154" s="154"/>
      <c r="P154" s="43"/>
      <c r="R154" s="43"/>
      <c r="V154" s="43"/>
    </row>
    <row r="155" spans="8:22" x14ac:dyDescent="0.15">
      <c r="H155" s="43"/>
      <c r="J155" s="154"/>
      <c r="K155" s="154"/>
      <c r="L155" s="154"/>
      <c r="M155" s="154"/>
      <c r="N155" s="154"/>
      <c r="P155" s="43"/>
      <c r="R155" s="43"/>
      <c r="V155" s="43"/>
    </row>
    <row r="156" spans="8:22" x14ac:dyDescent="0.15">
      <c r="H156" s="43"/>
      <c r="J156" s="154"/>
      <c r="K156" s="154"/>
      <c r="L156" s="154"/>
      <c r="M156" s="154"/>
      <c r="N156" s="154"/>
      <c r="P156" s="43"/>
      <c r="R156" s="43"/>
      <c r="V156" s="43"/>
    </row>
    <row r="157" spans="8:22" x14ac:dyDescent="0.15">
      <c r="H157" s="43"/>
      <c r="P157" s="43"/>
      <c r="R157" s="43"/>
      <c r="V157" s="43"/>
    </row>
    <row r="158" spans="8:22" x14ac:dyDescent="0.15">
      <c r="H158" s="43"/>
      <c r="P158" s="43"/>
      <c r="R158" s="43"/>
      <c r="V158" s="43"/>
    </row>
    <row r="172" spans="8:22" x14ac:dyDescent="0.15">
      <c r="H172" s="43"/>
      <c r="O172" s="154"/>
      <c r="P172" s="43"/>
      <c r="R172" s="43"/>
      <c r="V172" s="43"/>
    </row>
    <row r="173" spans="8:22" x14ac:dyDescent="0.15">
      <c r="H173" s="43"/>
      <c r="O173" s="154"/>
      <c r="P173" s="43"/>
      <c r="R173" s="43"/>
      <c r="V173" s="43"/>
    </row>
    <row r="174" spans="8:22" x14ac:dyDescent="0.15">
      <c r="H174" s="43"/>
      <c r="O174" s="154"/>
      <c r="P174" s="43"/>
      <c r="R174" s="43"/>
      <c r="V174" s="43"/>
    </row>
    <row r="175" spans="8:22" x14ac:dyDescent="0.15">
      <c r="H175" s="43"/>
      <c r="O175" s="154"/>
      <c r="P175" s="43"/>
      <c r="R175" s="43"/>
      <c r="V175" s="43"/>
    </row>
    <row r="176" spans="8:22" x14ac:dyDescent="0.15">
      <c r="H176" s="43"/>
      <c r="O176" s="154"/>
      <c r="P176" s="43"/>
      <c r="R176" s="43"/>
      <c r="V176" s="43"/>
    </row>
    <row r="177" spans="15:15" s="43" customFormat="1" x14ac:dyDescent="0.15">
      <c r="O177" s="154"/>
    </row>
    <row r="178" spans="15:15" s="43" customFormat="1" x14ac:dyDescent="0.15">
      <c r="O178" s="154"/>
    </row>
    <row r="179" spans="15:15" s="43" customFormat="1" x14ac:dyDescent="0.15">
      <c r="O179" s="154"/>
    </row>
    <row r="180" spans="15:15" s="43" customFormat="1" x14ac:dyDescent="0.15">
      <c r="O180" s="154"/>
    </row>
    <row r="181" spans="15:15" s="43" customFormat="1" x14ac:dyDescent="0.15">
      <c r="O181" s="154"/>
    </row>
    <row r="182" spans="15:15" s="43" customFormat="1" x14ac:dyDescent="0.15">
      <c r="O182" s="154"/>
    </row>
    <row r="183" spans="15:15" s="43" customFormat="1" x14ac:dyDescent="0.15">
      <c r="O183" s="154"/>
    </row>
    <row r="184" spans="15:15" s="43" customFormat="1" x14ac:dyDescent="0.15">
      <c r="O184" s="154"/>
    </row>
    <row r="185" spans="15:15" s="43" customFormat="1" x14ac:dyDescent="0.15">
      <c r="O185" s="154"/>
    </row>
    <row r="186" spans="15:15" s="43" customFormat="1" x14ac:dyDescent="0.15">
      <c r="O186" s="154"/>
    </row>
    <row r="187" spans="15:15" s="43" customFormat="1" x14ac:dyDescent="0.15">
      <c r="O187" s="154"/>
    </row>
    <row r="188" spans="15:15" s="43" customFormat="1" x14ac:dyDescent="0.15">
      <c r="O188" s="154"/>
    </row>
    <row r="189" spans="15:15" s="43" customFormat="1" x14ac:dyDescent="0.15">
      <c r="O189" s="154"/>
    </row>
    <row r="190" spans="15:15" s="43" customFormat="1" x14ac:dyDescent="0.15">
      <c r="O190" s="154"/>
    </row>
    <row r="191" spans="15:15" s="43" customFormat="1" x14ac:dyDescent="0.15">
      <c r="O191" s="154"/>
    </row>
  </sheetData>
  <mergeCells count="71">
    <mergeCell ref="I20:I23"/>
    <mergeCell ref="I24:I27"/>
    <mergeCell ref="I28:I31"/>
    <mergeCell ref="T11:U11"/>
    <mergeCell ref="T17:U17"/>
    <mergeCell ref="B5:B7"/>
    <mergeCell ref="T5:U5"/>
    <mergeCell ref="I6:I10"/>
    <mergeCell ref="T6:U6"/>
    <mergeCell ref="T7:U7"/>
    <mergeCell ref="I4:I5"/>
    <mergeCell ref="J4:J5"/>
    <mergeCell ref="M4:M5"/>
    <mergeCell ref="N4:N5"/>
    <mergeCell ref="T4:U4"/>
    <mergeCell ref="B8:B11"/>
    <mergeCell ref="T8:U8"/>
    <mergeCell ref="T9:U9"/>
    <mergeCell ref="T10:U10"/>
    <mergeCell ref="B28:B38"/>
    <mergeCell ref="B39:B49"/>
    <mergeCell ref="B12:B16"/>
    <mergeCell ref="T12:U12"/>
    <mergeCell ref="T13:U13"/>
    <mergeCell ref="T14:U14"/>
    <mergeCell ref="T15:U15"/>
    <mergeCell ref="T18:U18"/>
    <mergeCell ref="B17:B20"/>
    <mergeCell ref="T19:U19"/>
    <mergeCell ref="T20:U20"/>
    <mergeCell ref="B21:B24"/>
    <mergeCell ref="T16:U16"/>
    <mergeCell ref="K37:L37"/>
    <mergeCell ref="I11:I15"/>
    <mergeCell ref="I16:I19"/>
    <mergeCell ref="Q37:R37"/>
    <mergeCell ref="K36:L36"/>
    <mergeCell ref="P38:P44"/>
    <mergeCell ref="K41:L41"/>
    <mergeCell ref="K42:L42"/>
    <mergeCell ref="K43:L43"/>
    <mergeCell ref="K44:L44"/>
    <mergeCell ref="Q45:Q49"/>
    <mergeCell ref="K48:L48"/>
    <mergeCell ref="K49:L49"/>
    <mergeCell ref="K50:L50"/>
    <mergeCell ref="K51:L51"/>
    <mergeCell ref="K45:L45"/>
    <mergeCell ref="K46:L46"/>
    <mergeCell ref="K47:L47"/>
    <mergeCell ref="P45:P56"/>
    <mergeCell ref="P57:Q57"/>
    <mergeCell ref="B50:B53"/>
    <mergeCell ref="K52:L52"/>
    <mergeCell ref="K53:L53"/>
    <mergeCell ref="Q51:Q55"/>
    <mergeCell ref="K54:L54"/>
    <mergeCell ref="K55:L55"/>
    <mergeCell ref="B54:B57"/>
    <mergeCell ref="K56:L56"/>
    <mergeCell ref="K57:L57"/>
    <mergeCell ref="I51:I56"/>
    <mergeCell ref="I57:J57"/>
    <mergeCell ref="K34:L34"/>
    <mergeCell ref="I35:I42"/>
    <mergeCell ref="K35:L35"/>
    <mergeCell ref="I43:I46"/>
    <mergeCell ref="I47:I50"/>
    <mergeCell ref="K38:L38"/>
    <mergeCell ref="K39:L39"/>
    <mergeCell ref="K40:L40"/>
  </mergeCells>
  <phoneticPr fontId="4"/>
  <pageMargins left="0.78740157480314965" right="0.78740157480314965" top="0.78740157480314965" bottom="0.78740157480314965" header="0.39370078740157483" footer="0.39370078740157483"/>
  <pageSetup paperSize="9" scale="61" orientation="landscape"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zoomScale="75" zoomScaleNormal="75" zoomScaleSheetLayoutView="80" workbookViewId="0"/>
  </sheetViews>
  <sheetFormatPr defaultRowHeight="13.5" x14ac:dyDescent="0.15"/>
  <cols>
    <col min="1" max="1" width="1.625" style="43" customWidth="1"/>
    <col min="2" max="2" width="18" style="43" customWidth="1"/>
    <col min="3" max="15" width="6.125" style="43" customWidth="1"/>
    <col min="16" max="16384" width="9" style="43"/>
  </cols>
  <sheetData>
    <row r="1" spans="2:15" ht="9.9499999999999993" customHeight="1" x14ac:dyDescent="0.15"/>
    <row r="2" spans="2:15" ht="24.95" customHeight="1" x14ac:dyDescent="0.15">
      <c r="B2" s="43" t="s">
        <v>779</v>
      </c>
    </row>
    <row r="3" spans="2:15" ht="20.100000000000001" customHeight="1" x14ac:dyDescent="0.15">
      <c r="D3" s="101" t="s">
        <v>237</v>
      </c>
      <c r="E3" s="100" t="s">
        <v>260</v>
      </c>
      <c r="F3" s="100"/>
      <c r="G3" s="101" t="s">
        <v>238</v>
      </c>
      <c r="H3" s="100" t="s">
        <v>712</v>
      </c>
      <c r="I3" s="100"/>
    </row>
    <row r="4" spans="2:15" ht="20.100000000000001" customHeight="1" thickBot="1" x14ac:dyDescent="0.2">
      <c r="B4" s="4" t="s">
        <v>253</v>
      </c>
      <c r="C4" s="4" t="s">
        <v>261</v>
      </c>
      <c r="D4" s="4"/>
      <c r="F4" s="4"/>
      <c r="G4" s="4"/>
      <c r="H4" s="4"/>
      <c r="I4" s="4"/>
      <c r="J4" s="4"/>
      <c r="K4" s="4"/>
      <c r="L4" s="4"/>
      <c r="M4" s="4"/>
      <c r="N4" s="4"/>
      <c r="O4" s="4"/>
    </row>
    <row r="5" spans="2:15" ht="20.100000000000001" customHeight="1" x14ac:dyDescent="0.15">
      <c r="B5" s="266" t="s">
        <v>254</v>
      </c>
      <c r="C5" s="267">
        <v>1</v>
      </c>
      <c r="D5" s="267">
        <v>2</v>
      </c>
      <c r="E5" s="267">
        <v>3</v>
      </c>
      <c r="F5" s="267">
        <v>4</v>
      </c>
      <c r="G5" s="267">
        <v>5</v>
      </c>
      <c r="H5" s="267">
        <v>6</v>
      </c>
      <c r="I5" s="267">
        <v>7</v>
      </c>
      <c r="J5" s="267">
        <v>8</v>
      </c>
      <c r="K5" s="267">
        <v>9</v>
      </c>
      <c r="L5" s="267">
        <v>10</v>
      </c>
      <c r="M5" s="267">
        <v>11</v>
      </c>
      <c r="N5" s="267">
        <v>12</v>
      </c>
      <c r="O5" s="268" t="s">
        <v>255</v>
      </c>
    </row>
    <row r="6" spans="2:15" ht="20.100000000000001" customHeight="1" x14ac:dyDescent="0.15">
      <c r="B6" s="269" t="s">
        <v>262</v>
      </c>
      <c r="C6" s="270">
        <v>1214</v>
      </c>
      <c r="D6" s="270">
        <v>1010</v>
      </c>
      <c r="E6" s="270">
        <v>1033</v>
      </c>
      <c r="F6" s="270">
        <v>1216</v>
      </c>
      <c r="G6" s="270">
        <v>1164</v>
      </c>
      <c r="H6" s="270">
        <v>958</v>
      </c>
      <c r="I6" s="270">
        <v>725</v>
      </c>
      <c r="J6" s="270">
        <v>702</v>
      </c>
      <c r="K6" s="270">
        <v>877</v>
      </c>
      <c r="L6" s="270">
        <v>913</v>
      </c>
      <c r="M6" s="270">
        <v>842</v>
      </c>
      <c r="N6" s="270">
        <v>969</v>
      </c>
      <c r="O6" s="134">
        <v>947</v>
      </c>
    </row>
    <row r="7" spans="2:15" ht="20.100000000000001" customHeight="1" x14ac:dyDescent="0.15">
      <c r="B7" s="269" t="s">
        <v>263</v>
      </c>
      <c r="C7" s="270">
        <v>1000</v>
      </c>
      <c r="D7" s="270">
        <v>989</v>
      </c>
      <c r="E7" s="270">
        <v>1037</v>
      </c>
      <c r="F7" s="270">
        <v>1479</v>
      </c>
      <c r="G7" s="270">
        <v>1245</v>
      </c>
      <c r="H7" s="270">
        <v>927</v>
      </c>
      <c r="I7" s="270">
        <v>577</v>
      </c>
      <c r="J7" s="270">
        <v>662</v>
      </c>
      <c r="K7" s="270">
        <v>879</v>
      </c>
      <c r="L7" s="270">
        <v>972</v>
      </c>
      <c r="M7" s="270">
        <v>909</v>
      </c>
      <c r="N7" s="270">
        <v>926</v>
      </c>
      <c r="O7" s="134">
        <v>938</v>
      </c>
    </row>
    <row r="8" spans="2:15" ht="20.100000000000001" customHeight="1" x14ac:dyDescent="0.15">
      <c r="B8" s="269" t="s">
        <v>264</v>
      </c>
      <c r="C8" s="270">
        <v>988</v>
      </c>
      <c r="D8" s="270">
        <v>1010</v>
      </c>
      <c r="E8" s="270">
        <v>1030</v>
      </c>
      <c r="F8" s="270">
        <v>1428</v>
      </c>
      <c r="G8" s="270">
        <v>1212</v>
      </c>
      <c r="H8" s="270">
        <v>1196</v>
      </c>
      <c r="I8" s="270">
        <v>955</v>
      </c>
      <c r="J8" s="270">
        <v>715</v>
      </c>
      <c r="K8" s="270">
        <v>935</v>
      </c>
      <c r="L8" s="270">
        <v>1127</v>
      </c>
      <c r="M8" s="270">
        <v>986</v>
      </c>
      <c r="N8" s="270">
        <v>1075</v>
      </c>
      <c r="O8" s="134">
        <v>1096</v>
      </c>
    </row>
    <row r="9" spans="2:15" ht="20.100000000000001" customHeight="1" x14ac:dyDescent="0.15">
      <c r="B9" s="269" t="s">
        <v>265</v>
      </c>
      <c r="C9" s="270">
        <v>998</v>
      </c>
      <c r="D9" s="270">
        <v>932</v>
      </c>
      <c r="E9" s="270">
        <v>1061</v>
      </c>
      <c r="F9" s="270">
        <v>1371</v>
      </c>
      <c r="G9" s="270">
        <v>1470</v>
      </c>
      <c r="H9" s="270">
        <v>1166</v>
      </c>
      <c r="I9" s="270">
        <v>920</v>
      </c>
      <c r="J9" s="270">
        <v>684</v>
      </c>
      <c r="K9" s="270">
        <v>846</v>
      </c>
      <c r="L9" s="270">
        <v>1146</v>
      </c>
      <c r="M9" s="270">
        <v>1046</v>
      </c>
      <c r="N9" s="270">
        <v>1182</v>
      </c>
      <c r="O9" s="134">
        <v>1059</v>
      </c>
    </row>
    <row r="10" spans="2:15" ht="20.100000000000001" customHeight="1" x14ac:dyDescent="0.15">
      <c r="B10" s="269" t="s">
        <v>266</v>
      </c>
      <c r="C10" s="270">
        <v>1492</v>
      </c>
      <c r="D10" s="270">
        <v>1084</v>
      </c>
      <c r="E10" s="270">
        <v>1082</v>
      </c>
      <c r="F10" s="270">
        <v>1523</v>
      </c>
      <c r="G10" s="270">
        <v>1368</v>
      </c>
      <c r="H10" s="270">
        <v>1118</v>
      </c>
      <c r="I10" s="270">
        <v>955</v>
      </c>
      <c r="J10" s="270">
        <v>746</v>
      </c>
      <c r="K10" s="270">
        <v>978</v>
      </c>
      <c r="L10" s="270">
        <v>1038</v>
      </c>
      <c r="M10" s="270">
        <v>1093</v>
      </c>
      <c r="N10" s="270">
        <v>1163</v>
      </c>
      <c r="O10" s="134">
        <v>1093</v>
      </c>
    </row>
    <row r="11" spans="2:15" ht="20.100000000000001" customHeight="1" thickBot="1" x14ac:dyDescent="0.2">
      <c r="B11" s="271" t="s">
        <v>256</v>
      </c>
      <c r="C11" s="272">
        <f>AVERAGE(C6:C10)</f>
        <v>1138.4000000000001</v>
      </c>
      <c r="D11" s="272">
        <f t="shared" ref="D11:O11" si="0">AVERAGE(D6:D10)</f>
        <v>1005</v>
      </c>
      <c r="E11" s="272">
        <f t="shared" si="0"/>
        <v>1048.5999999999999</v>
      </c>
      <c r="F11" s="272">
        <f t="shared" si="0"/>
        <v>1403.4</v>
      </c>
      <c r="G11" s="272">
        <f t="shared" si="0"/>
        <v>1291.8</v>
      </c>
      <c r="H11" s="272">
        <f t="shared" si="0"/>
        <v>1073</v>
      </c>
      <c r="I11" s="272">
        <f t="shared" si="0"/>
        <v>826.4</v>
      </c>
      <c r="J11" s="272">
        <f t="shared" si="0"/>
        <v>701.8</v>
      </c>
      <c r="K11" s="272">
        <f t="shared" si="0"/>
        <v>903</v>
      </c>
      <c r="L11" s="272">
        <f t="shared" si="0"/>
        <v>1039.2</v>
      </c>
      <c r="M11" s="272">
        <f t="shared" si="0"/>
        <v>975.2</v>
      </c>
      <c r="N11" s="272">
        <f t="shared" si="0"/>
        <v>1063</v>
      </c>
      <c r="O11" s="273">
        <f t="shared" si="0"/>
        <v>1026.5999999999999</v>
      </c>
    </row>
    <row r="12" spans="2:15" ht="20.100000000000001" customHeight="1" x14ac:dyDescent="0.15"/>
    <row r="13" spans="2:15" ht="20.100000000000001" customHeight="1" thickBot="1" x14ac:dyDescent="0.2">
      <c r="B13" s="4" t="s">
        <v>253</v>
      </c>
      <c r="C13" s="4" t="s">
        <v>257</v>
      </c>
      <c r="D13" s="4"/>
      <c r="F13" s="4"/>
      <c r="G13" s="4"/>
      <c r="H13" s="4"/>
      <c r="I13" s="4"/>
      <c r="J13" s="4"/>
      <c r="K13" s="4"/>
      <c r="L13" s="4"/>
      <c r="M13" s="4"/>
      <c r="N13" s="4"/>
      <c r="O13" s="4"/>
    </row>
    <row r="14" spans="2:15" ht="20.100000000000001" customHeight="1" x14ac:dyDescent="0.15">
      <c r="B14" s="266" t="s">
        <v>254</v>
      </c>
      <c r="C14" s="267">
        <v>1</v>
      </c>
      <c r="D14" s="267">
        <v>2</v>
      </c>
      <c r="E14" s="267">
        <v>3</v>
      </c>
      <c r="F14" s="267">
        <v>4</v>
      </c>
      <c r="G14" s="267">
        <v>5</v>
      </c>
      <c r="H14" s="267">
        <v>6</v>
      </c>
      <c r="I14" s="267">
        <v>7</v>
      </c>
      <c r="J14" s="267">
        <v>8</v>
      </c>
      <c r="K14" s="267">
        <v>9</v>
      </c>
      <c r="L14" s="267">
        <v>10</v>
      </c>
      <c r="M14" s="267">
        <v>11</v>
      </c>
      <c r="N14" s="267">
        <v>12</v>
      </c>
      <c r="O14" s="268" t="s">
        <v>255</v>
      </c>
    </row>
    <row r="15" spans="2:15" ht="20.100000000000001" customHeight="1" x14ac:dyDescent="0.15">
      <c r="B15" s="269" t="s">
        <v>262</v>
      </c>
      <c r="C15" s="270">
        <v>0</v>
      </c>
      <c r="D15" s="270">
        <v>0</v>
      </c>
      <c r="E15" s="270">
        <v>1311</v>
      </c>
      <c r="F15" s="270">
        <v>1373</v>
      </c>
      <c r="G15" s="270">
        <v>1182</v>
      </c>
      <c r="H15" s="270">
        <v>1173</v>
      </c>
      <c r="I15" s="270">
        <v>736</v>
      </c>
      <c r="J15" s="270">
        <v>704</v>
      </c>
      <c r="K15" s="270">
        <v>941</v>
      </c>
      <c r="L15" s="270">
        <v>1010</v>
      </c>
      <c r="M15" s="270">
        <v>0</v>
      </c>
      <c r="N15" s="270">
        <v>0</v>
      </c>
      <c r="O15" s="134">
        <v>969</v>
      </c>
    </row>
    <row r="16" spans="2:15" ht="20.100000000000001" customHeight="1" x14ac:dyDescent="0.15">
      <c r="B16" s="269" t="s">
        <v>263</v>
      </c>
      <c r="C16" s="270">
        <v>0</v>
      </c>
      <c r="D16" s="270">
        <v>0</v>
      </c>
      <c r="E16" s="270">
        <v>1430</v>
      </c>
      <c r="F16" s="270">
        <v>1566</v>
      </c>
      <c r="G16" s="270">
        <v>1231</v>
      </c>
      <c r="H16" s="270">
        <v>1054</v>
      </c>
      <c r="I16" s="270">
        <v>431</v>
      </c>
      <c r="J16" s="270">
        <v>662</v>
      </c>
      <c r="K16" s="270">
        <v>940</v>
      </c>
      <c r="L16" s="270">
        <v>971</v>
      </c>
      <c r="M16" s="270">
        <v>0</v>
      </c>
      <c r="N16" s="270">
        <v>0</v>
      </c>
      <c r="O16" s="134">
        <v>869</v>
      </c>
    </row>
    <row r="17" spans="2:15" ht="20.100000000000001" customHeight="1" x14ac:dyDescent="0.15">
      <c r="B17" s="269" t="s">
        <v>264</v>
      </c>
      <c r="C17" s="270">
        <v>0</v>
      </c>
      <c r="D17" s="270">
        <v>0</v>
      </c>
      <c r="E17" s="270">
        <v>1327</v>
      </c>
      <c r="F17" s="270">
        <v>1700</v>
      </c>
      <c r="G17" s="270">
        <v>1205</v>
      </c>
      <c r="H17" s="270">
        <v>1428</v>
      </c>
      <c r="I17" s="270">
        <v>954</v>
      </c>
      <c r="J17" s="270">
        <v>732</v>
      </c>
      <c r="K17" s="270">
        <v>951</v>
      </c>
      <c r="L17" s="270">
        <v>1099</v>
      </c>
      <c r="M17" s="270">
        <v>0</v>
      </c>
      <c r="N17" s="270">
        <v>0</v>
      </c>
      <c r="O17" s="134">
        <v>1096</v>
      </c>
    </row>
    <row r="18" spans="2:15" ht="20.100000000000001" customHeight="1" x14ac:dyDescent="0.15">
      <c r="B18" s="269" t="s">
        <v>265</v>
      </c>
      <c r="C18" s="270">
        <v>0</v>
      </c>
      <c r="D18" s="270">
        <v>0</v>
      </c>
      <c r="E18" s="270">
        <v>1411</v>
      </c>
      <c r="F18" s="270">
        <v>1731</v>
      </c>
      <c r="G18" s="270">
        <v>1499</v>
      </c>
      <c r="H18" s="270">
        <v>1362</v>
      </c>
      <c r="I18" s="270">
        <v>950</v>
      </c>
      <c r="J18" s="270">
        <v>698</v>
      </c>
      <c r="K18" s="270">
        <v>913</v>
      </c>
      <c r="L18" s="270">
        <v>1126</v>
      </c>
      <c r="M18" s="270">
        <v>0</v>
      </c>
      <c r="N18" s="270">
        <v>0</v>
      </c>
      <c r="O18" s="134">
        <v>1130</v>
      </c>
    </row>
    <row r="19" spans="2:15" ht="20.100000000000001" customHeight="1" x14ac:dyDescent="0.15">
      <c r="B19" s="269" t="s">
        <v>266</v>
      </c>
      <c r="C19" s="270">
        <v>0</v>
      </c>
      <c r="D19" s="270">
        <v>0</v>
      </c>
      <c r="E19" s="270">
        <v>1216</v>
      </c>
      <c r="F19" s="270">
        <v>1658</v>
      </c>
      <c r="G19" s="270">
        <v>1403</v>
      </c>
      <c r="H19" s="270">
        <v>1271</v>
      </c>
      <c r="I19" s="270">
        <v>932</v>
      </c>
      <c r="J19" s="270">
        <v>731</v>
      </c>
      <c r="K19" s="270">
        <v>1055</v>
      </c>
      <c r="L19" s="270">
        <v>1041</v>
      </c>
      <c r="M19" s="270">
        <v>0</v>
      </c>
      <c r="N19" s="270">
        <v>0</v>
      </c>
      <c r="O19" s="134">
        <v>1149</v>
      </c>
    </row>
    <row r="20" spans="2:15" ht="20.100000000000001" customHeight="1" thickBot="1" x14ac:dyDescent="0.2">
      <c r="B20" s="271" t="s">
        <v>256</v>
      </c>
      <c r="C20" s="272">
        <f>AVERAGE(C15:C19)</f>
        <v>0</v>
      </c>
      <c r="D20" s="272">
        <f t="shared" ref="D20:O20" si="1">AVERAGE(D15:D19)</f>
        <v>0</v>
      </c>
      <c r="E20" s="272">
        <f t="shared" si="1"/>
        <v>1339</v>
      </c>
      <c r="F20" s="272">
        <f t="shared" si="1"/>
        <v>1605.6</v>
      </c>
      <c r="G20" s="272">
        <f t="shared" si="1"/>
        <v>1304</v>
      </c>
      <c r="H20" s="272">
        <f t="shared" si="1"/>
        <v>1257.5999999999999</v>
      </c>
      <c r="I20" s="272">
        <f t="shared" si="1"/>
        <v>800.6</v>
      </c>
      <c r="J20" s="272">
        <f t="shared" si="1"/>
        <v>705.4</v>
      </c>
      <c r="K20" s="272">
        <f t="shared" si="1"/>
        <v>960</v>
      </c>
      <c r="L20" s="272">
        <f t="shared" si="1"/>
        <v>1049.4000000000001</v>
      </c>
      <c r="M20" s="272">
        <f t="shared" si="1"/>
        <v>0</v>
      </c>
      <c r="N20" s="272">
        <f t="shared" si="1"/>
        <v>0</v>
      </c>
      <c r="O20" s="273">
        <f t="shared" si="1"/>
        <v>1042.5999999999999</v>
      </c>
    </row>
  </sheetData>
  <phoneticPr fontId="4"/>
  <pageMargins left="0.78740157480314965" right="0.78740157480314965" top="0.78740157480314965" bottom="0.78740157480314965" header="0.39370078740157483" footer="0.39370078740157483"/>
  <pageSetup paperSize="9"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workbookViewId="0"/>
  </sheetViews>
  <sheetFormatPr defaultColWidth="9" defaultRowHeight="13.5" x14ac:dyDescent="0.15"/>
  <cols>
    <col min="1" max="1" width="1.625" style="70" customWidth="1"/>
    <col min="2" max="2" width="7.625" style="70" customWidth="1"/>
    <col min="3" max="3" width="25.625" style="70" customWidth="1"/>
    <col min="4" max="12" width="15.625" style="70" customWidth="1"/>
    <col min="13" max="16384" width="9" style="70"/>
  </cols>
  <sheetData>
    <row r="1" spans="2:12" x14ac:dyDescent="0.15">
      <c r="B1" s="69"/>
      <c r="C1" s="69"/>
      <c r="D1" s="69"/>
      <c r="E1" s="69"/>
      <c r="F1" s="69"/>
      <c r="G1" s="69"/>
      <c r="H1" s="69"/>
      <c r="I1" s="69"/>
      <c r="J1" s="69"/>
      <c r="K1" s="69"/>
      <c r="L1" s="69"/>
    </row>
    <row r="2" spans="2:12" ht="14.25" thickBot="1" x14ac:dyDescent="0.2">
      <c r="B2" s="258" t="s">
        <v>108</v>
      </c>
      <c r="F2" s="259" t="s">
        <v>237</v>
      </c>
      <c r="G2" s="258" t="s">
        <v>563</v>
      </c>
      <c r="I2" s="259" t="s">
        <v>238</v>
      </c>
      <c r="J2" s="70" t="s">
        <v>239</v>
      </c>
    </row>
    <row r="3" spans="2:12" x14ac:dyDescent="0.15">
      <c r="B3" s="883" t="s">
        <v>118</v>
      </c>
      <c r="C3" s="884"/>
      <c r="D3" s="605" t="s">
        <v>536</v>
      </c>
      <c r="E3" s="605" t="s">
        <v>537</v>
      </c>
      <c r="F3" s="605" t="s">
        <v>538</v>
      </c>
      <c r="G3" s="605" t="s">
        <v>325</v>
      </c>
      <c r="H3" s="605" t="s">
        <v>67</v>
      </c>
      <c r="I3" s="605" t="s">
        <v>328</v>
      </c>
      <c r="J3" s="605" t="s">
        <v>540</v>
      </c>
      <c r="K3" s="605" t="s">
        <v>541</v>
      </c>
      <c r="L3" s="486" t="s">
        <v>542</v>
      </c>
    </row>
    <row r="4" spans="2:12" ht="162" x14ac:dyDescent="0.15">
      <c r="B4" s="882" t="s">
        <v>109</v>
      </c>
      <c r="C4" s="487" t="s">
        <v>110</v>
      </c>
      <c r="D4" s="685" t="s">
        <v>716</v>
      </c>
      <c r="E4" s="685" t="s">
        <v>732</v>
      </c>
      <c r="F4" s="685" t="s">
        <v>718</v>
      </c>
      <c r="G4" s="685" t="s">
        <v>719</v>
      </c>
      <c r="H4" s="685" t="s">
        <v>720</v>
      </c>
      <c r="I4" s="685" t="s">
        <v>721</v>
      </c>
      <c r="J4" s="685" t="s">
        <v>722</v>
      </c>
      <c r="K4" s="685" t="s">
        <v>723</v>
      </c>
      <c r="L4" s="686"/>
    </row>
    <row r="5" spans="2:12" x14ac:dyDescent="0.15">
      <c r="B5" s="882"/>
      <c r="C5" s="487" t="s">
        <v>111</v>
      </c>
      <c r="D5" s="501" t="s">
        <v>564</v>
      </c>
      <c r="E5" s="501" t="s">
        <v>544</v>
      </c>
      <c r="F5" s="501" t="s">
        <v>565</v>
      </c>
      <c r="G5" s="502"/>
      <c r="H5" s="501" t="s">
        <v>546</v>
      </c>
      <c r="I5" s="501" t="s">
        <v>566</v>
      </c>
      <c r="J5" s="501" t="s">
        <v>567</v>
      </c>
      <c r="K5" s="501" t="s">
        <v>549</v>
      </c>
      <c r="L5" s="495"/>
    </row>
    <row r="6" spans="2:12" ht="67.5" x14ac:dyDescent="0.15">
      <c r="B6" s="882"/>
      <c r="C6" s="487" t="s">
        <v>117</v>
      </c>
      <c r="D6" s="503" t="s">
        <v>550</v>
      </c>
      <c r="E6" s="503" t="s">
        <v>568</v>
      </c>
      <c r="F6" s="503" t="s">
        <v>552</v>
      </c>
      <c r="G6" s="503" t="s">
        <v>553</v>
      </c>
      <c r="H6" s="492"/>
      <c r="I6" s="492" t="s">
        <v>553</v>
      </c>
      <c r="J6" s="492" t="s">
        <v>554</v>
      </c>
      <c r="K6" s="492" t="s">
        <v>569</v>
      </c>
      <c r="L6" s="488"/>
    </row>
    <row r="7" spans="2:12" x14ac:dyDescent="0.15">
      <c r="B7" s="882"/>
      <c r="C7" s="493" t="s">
        <v>556</v>
      </c>
      <c r="D7" s="504"/>
      <c r="E7" s="504">
        <v>16</v>
      </c>
      <c r="F7" s="504">
        <v>6</v>
      </c>
      <c r="G7" s="505">
        <v>-1</v>
      </c>
      <c r="H7" s="487"/>
      <c r="I7" s="487">
        <v>2</v>
      </c>
      <c r="J7" s="487">
        <v>6.9</v>
      </c>
      <c r="K7" s="487">
        <v>12.1</v>
      </c>
      <c r="L7" s="495"/>
    </row>
    <row r="8" spans="2:12" x14ac:dyDescent="0.15">
      <c r="B8" s="882"/>
      <c r="C8" s="496" t="s">
        <v>557</v>
      </c>
      <c r="D8" s="504">
        <v>17.2</v>
      </c>
      <c r="E8" s="504"/>
      <c r="F8" s="504">
        <v>18</v>
      </c>
      <c r="G8" s="505">
        <v>-1</v>
      </c>
      <c r="H8" s="487"/>
      <c r="I8" s="487">
        <v>5.0999999999999996</v>
      </c>
      <c r="J8" s="487">
        <v>23.3</v>
      </c>
      <c r="K8" s="487">
        <v>3.7</v>
      </c>
      <c r="L8" s="495">
        <v>2</v>
      </c>
    </row>
    <row r="9" spans="2:12" x14ac:dyDescent="0.15">
      <c r="B9" s="882"/>
      <c r="C9" s="487" t="s">
        <v>116</v>
      </c>
      <c r="D9" s="487"/>
      <c r="E9" s="487"/>
      <c r="F9" s="487"/>
      <c r="G9" s="487"/>
      <c r="H9" s="487"/>
      <c r="I9" s="487"/>
      <c r="J9" s="487"/>
      <c r="K9" s="487"/>
      <c r="L9" s="495"/>
    </row>
    <row r="10" spans="2:12" ht="121.5" x14ac:dyDescent="0.15">
      <c r="B10" s="887" t="s">
        <v>558</v>
      </c>
      <c r="C10" s="888"/>
      <c r="D10" s="506" t="s">
        <v>570</v>
      </c>
      <c r="E10" s="506"/>
      <c r="F10" s="506" t="s">
        <v>571</v>
      </c>
      <c r="G10" s="499" t="s">
        <v>560</v>
      </c>
      <c r="H10" s="507"/>
      <c r="I10" s="499" t="s">
        <v>572</v>
      </c>
      <c r="J10" s="499" t="s">
        <v>451</v>
      </c>
      <c r="K10" s="499" t="s">
        <v>562</v>
      </c>
      <c r="L10" s="508"/>
    </row>
    <row r="11" spans="2:12" ht="80.25" customHeight="1" thickBot="1" x14ac:dyDescent="0.2">
      <c r="B11" s="885" t="s">
        <v>113</v>
      </c>
      <c r="C11" s="886"/>
      <c r="D11" s="682" t="s">
        <v>724</v>
      </c>
      <c r="E11" s="682" t="s">
        <v>725</v>
      </c>
      <c r="F11" s="682" t="s">
        <v>726</v>
      </c>
      <c r="G11" s="683" t="s">
        <v>727</v>
      </c>
      <c r="H11" s="683" t="s">
        <v>728</v>
      </c>
      <c r="I11" s="683" t="s">
        <v>729</v>
      </c>
      <c r="J11" s="683" t="s">
        <v>730</v>
      </c>
      <c r="K11" s="683" t="s">
        <v>733</v>
      </c>
      <c r="L11" s="687"/>
    </row>
    <row r="12" spans="2:12" x14ac:dyDescent="0.15">
      <c r="B12" s="75"/>
    </row>
  </sheetData>
  <mergeCells count="4">
    <mergeCell ref="B3:C3"/>
    <mergeCell ref="B4:B9"/>
    <mergeCell ref="B10:C10"/>
    <mergeCell ref="B11:C11"/>
  </mergeCells>
  <phoneticPr fontId="4"/>
  <pageMargins left="0.7" right="0.7"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zoomScaleSheetLayoutView="80" workbookViewId="0"/>
  </sheetViews>
  <sheetFormatPr defaultRowHeight="13.5" x14ac:dyDescent="0.15"/>
  <cols>
    <col min="1" max="1" width="1.625" style="70" customWidth="1"/>
    <col min="2" max="2" width="7.625" style="70" customWidth="1"/>
    <col min="3" max="3" width="25.625" style="70" customWidth="1"/>
    <col min="4" max="12" width="15.625" style="70" customWidth="1"/>
    <col min="13" max="16384" width="9" style="70"/>
  </cols>
  <sheetData>
    <row r="1" spans="2:12" ht="9.9499999999999993" customHeight="1" thickBot="1" x14ac:dyDescent="0.2">
      <c r="B1" s="69"/>
      <c r="C1" s="69"/>
      <c r="D1" s="69"/>
      <c r="E1" s="69"/>
      <c r="F1" s="69"/>
      <c r="G1" s="69"/>
      <c r="H1" s="69"/>
      <c r="I1" s="69"/>
      <c r="J1" s="69"/>
      <c r="K1" s="69"/>
      <c r="L1" s="69"/>
    </row>
    <row r="2" spans="2:12" ht="24.95" customHeight="1" thickBot="1" x14ac:dyDescent="0.2">
      <c r="B2" s="615" t="s">
        <v>788</v>
      </c>
      <c r="C2" s="616"/>
      <c r="D2" s="616"/>
      <c r="E2" s="616"/>
      <c r="F2" s="617" t="s">
        <v>237</v>
      </c>
      <c r="G2" s="618" t="s">
        <v>628</v>
      </c>
      <c r="H2" s="616"/>
      <c r="I2" s="617" t="s">
        <v>238</v>
      </c>
      <c r="J2" s="618" t="s">
        <v>627</v>
      </c>
      <c r="K2" s="616"/>
      <c r="L2" s="619"/>
    </row>
    <row r="3" spans="2:12" ht="20.100000000000001" customHeight="1" x14ac:dyDescent="0.15">
      <c r="B3" s="889" t="s">
        <v>118</v>
      </c>
      <c r="C3" s="890"/>
      <c r="D3" s="606" t="s">
        <v>281</v>
      </c>
      <c r="E3" s="606" t="s">
        <v>321</v>
      </c>
      <c r="F3" s="606" t="s">
        <v>322</v>
      </c>
      <c r="G3" s="606" t="s">
        <v>379</v>
      </c>
      <c r="H3" s="606" t="s">
        <v>324</v>
      </c>
      <c r="I3" s="606" t="s">
        <v>326</v>
      </c>
      <c r="J3" s="606" t="s">
        <v>327</v>
      </c>
      <c r="K3" s="606" t="s">
        <v>328</v>
      </c>
      <c r="L3" s="620" t="s">
        <v>358</v>
      </c>
    </row>
    <row r="4" spans="2:12" ht="150" customHeight="1" x14ac:dyDescent="0.15">
      <c r="B4" s="891" t="s">
        <v>109</v>
      </c>
      <c r="C4" s="603" t="s">
        <v>110</v>
      </c>
      <c r="D4" s="688" t="s">
        <v>734</v>
      </c>
      <c r="E4" s="688" t="s">
        <v>735</v>
      </c>
      <c r="F4" s="688" t="s">
        <v>736</v>
      </c>
      <c r="G4" s="688" t="s">
        <v>737</v>
      </c>
      <c r="H4" s="688" t="s">
        <v>738</v>
      </c>
      <c r="I4" s="688" t="s">
        <v>739</v>
      </c>
      <c r="J4" s="688" t="s">
        <v>740</v>
      </c>
      <c r="K4" s="688" t="s">
        <v>741</v>
      </c>
      <c r="L4" s="686" t="s">
        <v>742</v>
      </c>
    </row>
    <row r="5" spans="2:12" ht="20.100000000000001" customHeight="1" x14ac:dyDescent="0.15">
      <c r="B5" s="891"/>
      <c r="C5" s="603" t="s">
        <v>111</v>
      </c>
      <c r="D5" s="336" t="s">
        <v>372</v>
      </c>
      <c r="E5" s="336" t="s">
        <v>371</v>
      </c>
      <c r="F5" s="336" t="s">
        <v>336</v>
      </c>
      <c r="G5" s="336" t="s">
        <v>380</v>
      </c>
      <c r="H5" s="336" t="s">
        <v>337</v>
      </c>
      <c r="I5" s="603" t="s">
        <v>359</v>
      </c>
      <c r="J5" s="603" t="s">
        <v>360</v>
      </c>
      <c r="K5" s="603" t="s">
        <v>338</v>
      </c>
      <c r="L5" s="495" t="s">
        <v>361</v>
      </c>
    </row>
    <row r="6" spans="2:12" ht="150" customHeight="1" x14ac:dyDescent="0.15">
      <c r="B6" s="891"/>
      <c r="C6" s="603" t="s">
        <v>117</v>
      </c>
      <c r="D6" s="337" t="s">
        <v>629</v>
      </c>
      <c r="E6" s="73"/>
      <c r="F6" s="337" t="s">
        <v>630</v>
      </c>
      <c r="G6" s="337"/>
      <c r="H6" s="337" t="s">
        <v>362</v>
      </c>
      <c r="I6" s="72"/>
      <c r="J6" s="72" t="s">
        <v>363</v>
      </c>
      <c r="K6" s="72" t="s">
        <v>278</v>
      </c>
      <c r="L6" s="488" t="s">
        <v>364</v>
      </c>
    </row>
    <row r="7" spans="2:12" ht="20.100000000000001" customHeight="1" x14ac:dyDescent="0.15">
      <c r="B7" s="891"/>
      <c r="C7" s="74" t="s">
        <v>114</v>
      </c>
      <c r="D7" s="604">
        <v>8.3000000000000007</v>
      </c>
      <c r="E7" s="604">
        <v>0</v>
      </c>
      <c r="F7" s="604">
        <v>4</v>
      </c>
      <c r="G7" s="604">
        <v>0</v>
      </c>
      <c r="H7" s="604">
        <v>0</v>
      </c>
      <c r="I7" s="603">
        <v>0</v>
      </c>
      <c r="J7" s="603">
        <v>16</v>
      </c>
      <c r="K7" s="603">
        <v>7</v>
      </c>
      <c r="L7" s="495">
        <v>8.5</v>
      </c>
    </row>
    <row r="8" spans="2:12" ht="20.100000000000001" customHeight="1" x14ac:dyDescent="0.15">
      <c r="B8" s="891"/>
      <c r="C8" s="604" t="s">
        <v>115</v>
      </c>
      <c r="D8" s="604">
        <v>8.3000000000000007</v>
      </c>
      <c r="E8" s="604">
        <v>3.7</v>
      </c>
      <c r="F8" s="604">
        <v>21.6</v>
      </c>
      <c r="G8" s="604">
        <v>3.5</v>
      </c>
      <c r="H8" s="604">
        <v>500</v>
      </c>
      <c r="I8" s="603">
        <v>9</v>
      </c>
      <c r="J8" s="603">
        <v>16</v>
      </c>
      <c r="K8" s="603">
        <v>7</v>
      </c>
      <c r="L8" s="495">
        <v>8.5</v>
      </c>
    </row>
    <row r="9" spans="2:12" ht="20.100000000000001" customHeight="1" x14ac:dyDescent="0.15">
      <c r="B9" s="891"/>
      <c r="C9" s="603" t="s">
        <v>116</v>
      </c>
      <c r="D9" s="603">
        <v>2</v>
      </c>
      <c r="E9" s="603">
        <v>2</v>
      </c>
      <c r="F9" s="603">
        <v>3</v>
      </c>
      <c r="G9" s="603">
        <v>1</v>
      </c>
      <c r="H9" s="603">
        <v>7</v>
      </c>
      <c r="I9" s="603">
        <v>1</v>
      </c>
      <c r="J9" s="603">
        <v>1</v>
      </c>
      <c r="K9" s="603">
        <v>1</v>
      </c>
      <c r="L9" s="495">
        <v>3</v>
      </c>
    </row>
    <row r="10" spans="2:12" ht="150" customHeight="1" x14ac:dyDescent="0.15">
      <c r="B10" s="892" t="s">
        <v>112</v>
      </c>
      <c r="C10" s="893"/>
      <c r="D10" s="72" t="s">
        <v>340</v>
      </c>
      <c r="E10" s="72" t="s">
        <v>341</v>
      </c>
      <c r="F10" s="86" t="s">
        <v>631</v>
      </c>
      <c r="G10" s="86" t="s">
        <v>632</v>
      </c>
      <c r="H10" s="336" t="s">
        <v>365</v>
      </c>
      <c r="I10" s="336" t="s">
        <v>366</v>
      </c>
      <c r="J10" s="604"/>
      <c r="K10" s="336" t="s">
        <v>342</v>
      </c>
      <c r="L10" s="500"/>
    </row>
    <row r="11" spans="2:12" ht="150" customHeight="1" thickBot="1" x14ac:dyDescent="0.2">
      <c r="B11" s="885" t="s">
        <v>113</v>
      </c>
      <c r="C11" s="886"/>
      <c r="D11" s="682" t="s">
        <v>743</v>
      </c>
      <c r="E11" s="682" t="s">
        <v>744</v>
      </c>
      <c r="F11" s="682"/>
      <c r="G11" s="683" t="s">
        <v>745</v>
      </c>
      <c r="H11" s="683" t="s">
        <v>746</v>
      </c>
      <c r="I11" s="683" t="s">
        <v>747</v>
      </c>
      <c r="J11" s="683" t="s">
        <v>748</v>
      </c>
      <c r="K11" s="683" t="s">
        <v>749</v>
      </c>
      <c r="L11" s="689" t="s">
        <v>750</v>
      </c>
    </row>
    <row r="12" spans="2:12" ht="9.75" customHeight="1" x14ac:dyDescent="0.15">
      <c r="B12" s="75"/>
    </row>
  </sheetData>
  <mergeCells count="4">
    <mergeCell ref="B3:C3"/>
    <mergeCell ref="B4:B9"/>
    <mergeCell ref="B10:C10"/>
    <mergeCell ref="B11:C11"/>
  </mergeCells>
  <phoneticPr fontId="4"/>
  <pageMargins left="0.78740157480314965" right="0.78740157480314965" top="0.78740157480314965" bottom="0.78740157480314965" header="0.39370078740157483" footer="0.39370078740157483"/>
  <pageSetup paperSize="9" scale="71"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zoomScale="75" zoomScaleNormal="75" zoomScaleSheetLayoutView="80" workbookViewId="0"/>
  </sheetViews>
  <sheetFormatPr defaultRowHeight="13.5" x14ac:dyDescent="0.15"/>
  <cols>
    <col min="1" max="1" width="1.625" style="70" customWidth="1"/>
    <col min="2" max="2" width="7.625" style="70" customWidth="1"/>
    <col min="3" max="3" width="25.625" style="70" customWidth="1"/>
    <col min="4" max="12" width="15.625" style="70" customWidth="1"/>
    <col min="13" max="16384" width="9" style="70"/>
  </cols>
  <sheetData>
    <row r="1" spans="2:12" ht="9.9499999999999993" customHeight="1" x14ac:dyDescent="0.15">
      <c r="B1" s="69"/>
      <c r="C1" s="69"/>
      <c r="D1" s="69"/>
      <c r="E1" s="69"/>
      <c r="F1" s="69"/>
      <c r="G1" s="69"/>
      <c r="H1" s="69"/>
      <c r="I1" s="69"/>
      <c r="J1" s="69"/>
      <c r="K1" s="69"/>
    </row>
    <row r="2" spans="2:12" ht="24.95" customHeight="1" thickBot="1" x14ac:dyDescent="0.2">
      <c r="B2" s="258" t="s">
        <v>789</v>
      </c>
      <c r="F2" s="259" t="s">
        <v>237</v>
      </c>
      <c r="G2" s="258" t="s">
        <v>628</v>
      </c>
      <c r="I2" s="259" t="s">
        <v>238</v>
      </c>
      <c r="J2" s="258" t="s">
        <v>627</v>
      </c>
    </row>
    <row r="3" spans="2:12" ht="20.100000000000001" customHeight="1" x14ac:dyDescent="0.15">
      <c r="B3" s="894" t="s">
        <v>118</v>
      </c>
      <c r="C3" s="890"/>
      <c r="D3" s="553" t="s">
        <v>281</v>
      </c>
      <c r="E3" s="553" t="s">
        <v>321</v>
      </c>
      <c r="F3" s="553" t="s">
        <v>322</v>
      </c>
      <c r="G3" s="553" t="s">
        <v>335</v>
      </c>
      <c r="H3" s="553" t="s">
        <v>326</v>
      </c>
      <c r="I3" s="553" t="s">
        <v>327</v>
      </c>
      <c r="J3" s="553" t="s">
        <v>328</v>
      </c>
      <c r="K3" s="554" t="s">
        <v>358</v>
      </c>
      <c r="L3" s="555"/>
    </row>
    <row r="4" spans="2:12" ht="150" customHeight="1" x14ac:dyDescent="0.15">
      <c r="B4" s="895" t="s">
        <v>109</v>
      </c>
      <c r="C4" s="549" t="s">
        <v>110</v>
      </c>
      <c r="D4" s="688" t="s">
        <v>734</v>
      </c>
      <c r="E4" s="688" t="s">
        <v>735</v>
      </c>
      <c r="F4" s="688" t="s">
        <v>736</v>
      </c>
      <c r="G4" s="688" t="s">
        <v>751</v>
      </c>
      <c r="H4" s="688" t="s">
        <v>752</v>
      </c>
      <c r="I4" s="688" t="s">
        <v>740</v>
      </c>
      <c r="J4" s="688" t="s">
        <v>741</v>
      </c>
      <c r="K4" s="690" t="s">
        <v>742</v>
      </c>
      <c r="L4" s="556"/>
    </row>
    <row r="5" spans="2:12" ht="20.100000000000001" customHeight="1" x14ac:dyDescent="0.15">
      <c r="B5" s="895"/>
      <c r="C5" s="549" t="s">
        <v>111</v>
      </c>
      <c r="D5" s="336" t="s">
        <v>372</v>
      </c>
      <c r="E5" s="336" t="s">
        <v>371</v>
      </c>
      <c r="F5" s="336" t="s">
        <v>336</v>
      </c>
      <c r="G5" s="336" t="s">
        <v>343</v>
      </c>
      <c r="H5" s="549" t="s">
        <v>359</v>
      </c>
      <c r="I5" s="549" t="s">
        <v>367</v>
      </c>
      <c r="J5" s="549" t="s">
        <v>338</v>
      </c>
      <c r="K5" s="551" t="s">
        <v>361</v>
      </c>
      <c r="L5" s="555"/>
    </row>
    <row r="6" spans="2:12" ht="150" customHeight="1" x14ac:dyDescent="0.15">
      <c r="B6" s="895"/>
      <c r="C6" s="549" t="s">
        <v>117</v>
      </c>
      <c r="D6" s="337" t="s">
        <v>633</v>
      </c>
      <c r="E6" s="73"/>
      <c r="F6" s="337" t="s">
        <v>648</v>
      </c>
      <c r="G6" s="337" t="s">
        <v>339</v>
      </c>
      <c r="H6" s="72"/>
      <c r="I6" s="72" t="s">
        <v>363</v>
      </c>
      <c r="J6" s="72" t="s">
        <v>278</v>
      </c>
      <c r="K6" s="552" t="s">
        <v>364</v>
      </c>
      <c r="L6" s="556"/>
    </row>
    <row r="7" spans="2:12" ht="20.100000000000001" customHeight="1" x14ac:dyDescent="0.15">
      <c r="B7" s="895"/>
      <c r="C7" s="74" t="s">
        <v>114</v>
      </c>
      <c r="D7" s="550">
        <f>D8</f>
        <v>8.3000000000000007</v>
      </c>
      <c r="E7" s="550">
        <v>0</v>
      </c>
      <c r="F7" s="550">
        <v>3</v>
      </c>
      <c r="G7" s="550">
        <v>0</v>
      </c>
      <c r="H7" s="549">
        <v>0</v>
      </c>
      <c r="I7" s="549">
        <f>I8</f>
        <v>19</v>
      </c>
      <c r="J7" s="549">
        <f>J8</f>
        <v>4.9000000000000004</v>
      </c>
      <c r="K7" s="551">
        <f>K8</f>
        <v>8.5</v>
      </c>
      <c r="L7" s="555"/>
    </row>
    <row r="8" spans="2:12" ht="20.100000000000001" customHeight="1" x14ac:dyDescent="0.15">
      <c r="B8" s="895"/>
      <c r="C8" s="550" t="s">
        <v>115</v>
      </c>
      <c r="D8" s="550">
        <v>8.3000000000000007</v>
      </c>
      <c r="E8" s="550">
        <v>3.7</v>
      </c>
      <c r="F8" s="550">
        <v>21.6</v>
      </c>
      <c r="G8" s="550">
        <v>345.8</v>
      </c>
      <c r="H8" s="549">
        <v>9</v>
      </c>
      <c r="I8" s="549">
        <v>19</v>
      </c>
      <c r="J8" s="549">
        <v>4.9000000000000004</v>
      </c>
      <c r="K8" s="551">
        <v>8.5</v>
      </c>
      <c r="L8" s="555"/>
    </row>
    <row r="9" spans="2:12" ht="20.100000000000001" customHeight="1" x14ac:dyDescent="0.15">
      <c r="B9" s="895"/>
      <c r="C9" s="549" t="s">
        <v>116</v>
      </c>
      <c r="D9" s="549">
        <v>2</v>
      </c>
      <c r="E9" s="549">
        <v>2</v>
      </c>
      <c r="F9" s="549">
        <v>3</v>
      </c>
      <c r="G9" s="549">
        <v>7</v>
      </c>
      <c r="H9" s="549">
        <v>1</v>
      </c>
      <c r="I9" s="549">
        <v>1</v>
      </c>
      <c r="J9" s="549">
        <v>1</v>
      </c>
      <c r="K9" s="551">
        <v>3</v>
      </c>
      <c r="L9" s="555"/>
    </row>
    <row r="10" spans="2:12" ht="150" customHeight="1" x14ac:dyDescent="0.15">
      <c r="B10" s="896" t="s">
        <v>112</v>
      </c>
      <c r="C10" s="893"/>
      <c r="D10" s="72" t="s">
        <v>634</v>
      </c>
      <c r="E10" s="72" t="s">
        <v>344</v>
      </c>
      <c r="F10" s="86" t="s">
        <v>635</v>
      </c>
      <c r="G10" s="336" t="s">
        <v>365</v>
      </c>
      <c r="H10" s="336" t="s">
        <v>366</v>
      </c>
      <c r="I10" s="550"/>
      <c r="J10" s="336" t="s">
        <v>342</v>
      </c>
      <c r="K10" s="339"/>
      <c r="L10" s="557"/>
    </row>
    <row r="11" spans="2:12" ht="150" customHeight="1" thickBot="1" x14ac:dyDescent="0.2">
      <c r="B11" s="897" t="s">
        <v>113</v>
      </c>
      <c r="C11" s="898"/>
      <c r="D11" s="693" t="s">
        <v>753</v>
      </c>
      <c r="E11" s="693" t="s">
        <v>744</v>
      </c>
      <c r="F11" s="693" t="s">
        <v>754</v>
      </c>
      <c r="G11" s="691" t="s">
        <v>755</v>
      </c>
      <c r="H11" s="691" t="s">
        <v>747</v>
      </c>
      <c r="I11" s="691" t="s">
        <v>756</v>
      </c>
      <c r="J11" s="691" t="s">
        <v>757</v>
      </c>
      <c r="K11" s="692" t="s">
        <v>758</v>
      </c>
      <c r="L11" s="557"/>
    </row>
    <row r="12" spans="2:12" ht="9.75" customHeight="1" x14ac:dyDescent="0.15">
      <c r="B12" s="75"/>
    </row>
  </sheetData>
  <mergeCells count="4">
    <mergeCell ref="B3:C3"/>
    <mergeCell ref="B4:B9"/>
    <mergeCell ref="B10:C10"/>
    <mergeCell ref="B11:C11"/>
  </mergeCells>
  <phoneticPr fontId="4"/>
  <pageMargins left="0.78740157480314965" right="0.78740157480314965" top="0.78740157480314965" bottom="0.78740157480314965" header="0.39370078740157483" footer="0.39370078740157483"/>
  <pageSetup paperSize="9" scale="71"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50"/>
  <sheetViews>
    <sheetView zoomScale="75" zoomScaleNormal="75" zoomScaleSheetLayoutView="75" workbookViewId="0"/>
  </sheetViews>
  <sheetFormatPr defaultRowHeight="13.5" x14ac:dyDescent="0.15"/>
  <cols>
    <col min="1" max="1" width="1.625" style="6" customWidth="1"/>
    <col min="2" max="2" width="7.625" style="6" customWidth="1"/>
    <col min="3" max="3" width="15.625" style="6" customWidth="1"/>
    <col min="4" max="10" width="20.625" style="6" customWidth="1"/>
    <col min="11" max="11" width="84.625" style="6" customWidth="1"/>
    <col min="12" max="12" width="9.25" style="6" bestFit="1" customWidth="1"/>
    <col min="13" max="16384" width="9" style="6"/>
  </cols>
  <sheetData>
    <row r="2" spans="2:11" ht="24.95" customHeight="1" thickBot="1" x14ac:dyDescent="0.2">
      <c r="B2" s="7" t="s">
        <v>106</v>
      </c>
      <c r="C2" s="8"/>
      <c r="D2" s="8"/>
      <c r="J2" s="9"/>
      <c r="K2" s="9"/>
    </row>
    <row r="3" spans="2:11" ht="20.100000000000001" customHeight="1" x14ac:dyDescent="0.15">
      <c r="B3" s="899" t="s">
        <v>251</v>
      </c>
      <c r="C3" s="900"/>
      <c r="D3" s="900"/>
      <c r="E3" s="900"/>
      <c r="F3" s="10" t="s">
        <v>252</v>
      </c>
      <c r="G3" s="540" t="s">
        <v>606</v>
      </c>
      <c r="H3" s="540" t="s">
        <v>490</v>
      </c>
      <c r="I3" s="10" t="s">
        <v>333</v>
      </c>
      <c r="J3" s="11" t="s">
        <v>334</v>
      </c>
      <c r="K3" s="903" t="s">
        <v>250</v>
      </c>
    </row>
    <row r="4" spans="2:11" ht="20.100000000000001" customHeight="1" thickBot="1" x14ac:dyDescent="0.2">
      <c r="B4" s="901"/>
      <c r="C4" s="902"/>
      <c r="D4" s="902"/>
      <c r="E4" s="902"/>
      <c r="F4" s="12"/>
      <c r="G4" s="542">
        <f>'１　対象経営の概要，２　前提条件'!F13</f>
        <v>20</v>
      </c>
      <c r="H4" s="561">
        <f>'１　対象経営の概要，２　前提条件'!F14</f>
        <v>6.7</v>
      </c>
      <c r="I4" s="542">
        <v>1</v>
      </c>
      <c r="J4" s="542">
        <v>2</v>
      </c>
      <c r="K4" s="904"/>
    </row>
    <row r="5" spans="2:11" ht="20.100000000000001" customHeight="1" x14ac:dyDescent="0.15">
      <c r="B5" s="905" t="s">
        <v>92</v>
      </c>
      <c r="C5" s="908" t="s">
        <v>59</v>
      </c>
      <c r="D5" s="13" t="s">
        <v>202</v>
      </c>
      <c r="E5" s="14"/>
      <c r="F5" s="15">
        <f>SUM(G5:J5)</f>
        <v>77266200</v>
      </c>
      <c r="G5" s="541">
        <f>'７－１－１　水稲（食用倒伏しやすい品種）部門収支'!F4*('１　対象経営の概要，２　前提条件'!$AB$27+'１　対象経営の概要，２　前提条件'!$AM$27)+'７－１－２　水稲（食用倒伏しにくい品種）部門収支'!F4*'１　対象経営の概要，２　前提条件'!$AM$28</f>
        <v>18060000</v>
      </c>
      <c r="H5" s="548">
        <f>'７－１－３　水稲（加工用米）部門収支'!F4*'４　経営収支'!$H$4</f>
        <v>5346600</v>
      </c>
      <c r="I5" s="257">
        <f>'７－２　ハウスアスパラガス部門収支'!F4*I$4</f>
        <v>25606000</v>
      </c>
      <c r="J5" s="257">
        <f>'７－３　露地アスパラガス部門収支'!F4*J$4</f>
        <v>28253600</v>
      </c>
      <c r="K5" s="16"/>
    </row>
    <row r="6" spans="2:11" ht="20.100000000000001" customHeight="1" x14ac:dyDescent="0.15">
      <c r="B6" s="906"/>
      <c r="C6" s="909"/>
      <c r="D6" s="17" t="s">
        <v>93</v>
      </c>
      <c r="E6" s="18"/>
      <c r="F6" s="23">
        <f t="shared" ref="F6:F50" si="0">SUM(G6:J6)</f>
        <v>0</v>
      </c>
      <c r="G6" s="23">
        <f>'７－１－１　水稲（食用倒伏しやすい品種）部門収支'!F5*('１　対象経営の概要，２　前提条件'!$AB$27+'１　対象経営の概要，２　前提条件'!$AM$27)+'７－１－２　水稲（食用倒伏しにくい品種）部門収支'!F5*'１　対象経営の概要，２　前提条件'!$AM$28</f>
        <v>0</v>
      </c>
      <c r="H6" s="23">
        <f>'７－１－３　水稲（加工用米）部門収支'!F5*'４　経営収支'!$H$4</f>
        <v>0</v>
      </c>
      <c r="I6" s="23">
        <f>'７－２　ハウスアスパラガス部門収支'!F5*I$4</f>
        <v>0</v>
      </c>
      <c r="J6" s="23">
        <f>'７－３　露地アスパラガス部門収支'!F5*J$4</f>
        <v>0</v>
      </c>
      <c r="K6" s="20"/>
    </row>
    <row r="7" spans="2:11" ht="20.100000000000001" customHeight="1" x14ac:dyDescent="0.15">
      <c r="B7" s="906"/>
      <c r="C7" s="910"/>
      <c r="D7" s="911" t="s">
        <v>190</v>
      </c>
      <c r="E7" s="912"/>
      <c r="F7" s="545">
        <f t="shared" si="0"/>
        <v>77266200</v>
      </c>
      <c r="G7" s="22">
        <f>G5+G6</f>
        <v>18060000</v>
      </c>
      <c r="H7" s="22">
        <f>SUM(H5:H6)</f>
        <v>5346600</v>
      </c>
      <c r="I7" s="22">
        <f>I5+I6</f>
        <v>25606000</v>
      </c>
      <c r="J7" s="22">
        <f>J5+J6</f>
        <v>28253600</v>
      </c>
      <c r="K7" s="20"/>
    </row>
    <row r="8" spans="2:11" ht="20.100000000000001" customHeight="1" x14ac:dyDescent="0.15">
      <c r="B8" s="906"/>
      <c r="C8" s="913" t="s">
        <v>193</v>
      </c>
      <c r="D8" s="17" t="s">
        <v>60</v>
      </c>
      <c r="E8" s="18"/>
      <c r="F8" s="23">
        <f t="shared" si="0"/>
        <v>305700</v>
      </c>
      <c r="G8" s="23">
        <f>'７－１－１　水稲（食用倒伏しやすい品種）部門収支'!F6*('１　対象経営の概要，２　前提条件'!$AB$27+'１　対象経営の概要，２　前提条件'!$AM$27)+'７－１－２　水稲（食用倒伏しにくい品種）部門収支'!F6*'１　対象経営の概要，２　前提条件'!$AM$28</f>
        <v>232000</v>
      </c>
      <c r="H8" s="23">
        <f>'７－１－３　水稲（加工用米）部門収支'!F6*'４　経営収支'!$H$4</f>
        <v>73700</v>
      </c>
      <c r="I8" s="23">
        <f>'７－２　ハウスアスパラガス部門収支'!F6*I$4</f>
        <v>0</v>
      </c>
      <c r="J8" s="23">
        <f>'７－３　露地アスパラガス部門収支'!F6*J$4</f>
        <v>0</v>
      </c>
      <c r="K8" s="20"/>
    </row>
    <row r="9" spans="2:11" ht="20.100000000000001" customHeight="1" x14ac:dyDescent="0.15">
      <c r="B9" s="906"/>
      <c r="C9" s="914"/>
      <c r="D9" s="17" t="s">
        <v>61</v>
      </c>
      <c r="E9" s="18"/>
      <c r="F9" s="23">
        <f t="shared" si="0"/>
        <v>5386537.7949999999</v>
      </c>
      <c r="G9" s="23">
        <f>'７－１－１　水稲（食用倒伏しやすい品種）部門収支'!F7*('１　対象経営の概要，２　前提条件'!$AB$27+'１　対象経営の概要，２　前提条件'!$AM$27)+'７－１－２　水稲（食用倒伏しにくい品種）部門収支'!F7*'１　対象経営の概要，２　前提条件'!$AM$28</f>
        <v>2410658</v>
      </c>
      <c r="H9" s="23">
        <f>'７－１－３　水稲（加工用米）部門収支'!F7*'４　経営収支'!$H$4</f>
        <v>935479.79500000004</v>
      </c>
      <c r="I9" s="23">
        <f>'７－２　ハウスアスパラガス部門収支'!F7*I$4</f>
        <v>702600</v>
      </c>
      <c r="J9" s="23">
        <f>'７－３　露地アスパラガス部門収支'!F7*J$4</f>
        <v>1337800</v>
      </c>
      <c r="K9" s="20"/>
    </row>
    <row r="10" spans="2:11" ht="20.100000000000001" customHeight="1" x14ac:dyDescent="0.15">
      <c r="B10" s="906"/>
      <c r="C10" s="914"/>
      <c r="D10" s="17" t="s">
        <v>62</v>
      </c>
      <c r="E10" s="18"/>
      <c r="F10" s="23">
        <f t="shared" si="0"/>
        <v>2643046.6533333333</v>
      </c>
      <c r="G10" s="23">
        <f>'７－１－１　水稲（食用倒伏しやすい品種）部門収支'!F8*('１　対象経営の概要，２　前提条件'!$AB$27+'１　対象経営の概要，２　前提条件'!$AM$27)+'７－１－２　水稲（食用倒伏しにくい品種）部門収支'!F8*'１　対象経営の概要，２　前提条件'!$AM$28</f>
        <v>1255145.3333333333</v>
      </c>
      <c r="H10" s="23">
        <f>'７－１－３　水稲（加工用米）部門収支'!F8*'４　経営収支'!$H$4</f>
        <v>482973.52000000008</v>
      </c>
      <c r="I10" s="23">
        <f>'７－２　ハウスアスパラガス部門収支'!F8*I$4</f>
        <v>376156.2</v>
      </c>
      <c r="J10" s="23">
        <f>'７－３　露地アスパラガス部門収支'!F8*J$4</f>
        <v>528771.6</v>
      </c>
      <c r="K10" s="20"/>
    </row>
    <row r="11" spans="2:11" ht="20.100000000000001" customHeight="1" x14ac:dyDescent="0.15">
      <c r="B11" s="906"/>
      <c r="C11" s="914"/>
      <c r="D11" s="17" t="s">
        <v>94</v>
      </c>
      <c r="E11" s="18"/>
      <c r="F11" s="23">
        <f t="shared" si="0"/>
        <v>1824161.5609459998</v>
      </c>
      <c r="G11" s="23">
        <f>'７－１－１　水稲（食用倒伏しやすい品種）部門収支'!F9*('１　対象経営の概要，２　前提条件'!$AB$27+'１　対象経営の概要，２　前提条件'!$AM$27)+'７－１－２　水稲（食用倒伏しにくい品種）部門収支'!F9*'１　対象経営の概要，２　前提条件'!$AM$28</f>
        <v>830682.48759999999</v>
      </c>
      <c r="H11" s="23">
        <f>'７－１－３　水稲（加工用米）部門収支'!F9*'４　経営収支'!$H$4</f>
        <v>278278.63334599999</v>
      </c>
      <c r="I11" s="23">
        <f>'７－２　ハウスアスパラガス部門収支'!F9*I$4</f>
        <v>205773.15999999997</v>
      </c>
      <c r="J11" s="23">
        <f>'７－３　露地アスパラガス部門収支'!F9*J$4</f>
        <v>509427.28</v>
      </c>
      <c r="K11" s="20"/>
    </row>
    <row r="12" spans="2:11" ht="20.100000000000001" customHeight="1" x14ac:dyDescent="0.15">
      <c r="B12" s="906"/>
      <c r="C12" s="914"/>
      <c r="D12" s="17" t="s">
        <v>63</v>
      </c>
      <c r="E12" s="18"/>
      <c r="F12" s="23">
        <f t="shared" si="0"/>
        <v>1291165.2727272727</v>
      </c>
      <c r="G12" s="23">
        <f>'７－１－１　水稲（食用倒伏しやすい品種）部門収支'!F10*('１　対象経営の概要，２　前提条件'!$AB$27+'１　対象経営の概要，２　前提条件'!$AM$27)+'７－１－２　水稲（食用倒伏しにくい品種）部門収支'!F10*'１　対象経営の概要，２　前提条件'!$AM$28</f>
        <v>116133.33333333334</v>
      </c>
      <c r="H12" s="23">
        <f>'７－１－３　水稲（加工用米）部門収支'!F10*'４　経営収支'!$H$4</f>
        <v>38904.666666666672</v>
      </c>
      <c r="I12" s="23">
        <f>'７－２　ハウスアスパラガス部門収支'!F10*I$4</f>
        <v>679460.60606060608</v>
      </c>
      <c r="J12" s="23">
        <f>'７－３　露地アスパラガス部門収支'!F10*J$4</f>
        <v>456666.66666666663</v>
      </c>
      <c r="K12" s="20"/>
    </row>
    <row r="13" spans="2:11" ht="20.100000000000001" customHeight="1" x14ac:dyDescent="0.15">
      <c r="B13" s="906"/>
      <c r="C13" s="914"/>
      <c r="D13" s="17" t="s">
        <v>6</v>
      </c>
      <c r="E13" s="18"/>
      <c r="F13" s="23">
        <f t="shared" si="0"/>
        <v>55997.57575757576</v>
      </c>
      <c r="G13" s="23">
        <f>'７－１－１　水稲（食用倒伏しやすい品種）部門収支'!F11*('１　対象経営の概要，２　前提条件'!$AB$27+'１　対象経営の概要，２　前提条件'!$AM$27)+'７－１－２　水稲（食用倒伏しにくい品種）部門収支'!F11*'１　対象経営の概要，２　前提条件'!$AM$28</f>
        <v>1712.962962962963</v>
      </c>
      <c r="H13" s="23">
        <f>'７－１－３　水稲（加工用米）部門収支'!F11*'４　経営収支'!$H$4</f>
        <v>620.37037037037044</v>
      </c>
      <c r="I13" s="23">
        <f>'７－２　ハウスアスパラガス部門収支'!F11*I$4</f>
        <v>17726.464646464647</v>
      </c>
      <c r="J13" s="23">
        <f>'７－３　露地アスパラガス部門収支'!F11*J$4</f>
        <v>35937.777777777781</v>
      </c>
      <c r="K13" s="20"/>
    </row>
    <row r="14" spans="2:11" ht="20.100000000000001" customHeight="1" x14ac:dyDescent="0.15">
      <c r="B14" s="906"/>
      <c r="C14" s="914"/>
      <c r="D14" s="17" t="s">
        <v>7</v>
      </c>
      <c r="E14" s="18"/>
      <c r="F14" s="23">
        <f t="shared" si="0"/>
        <v>9616750</v>
      </c>
      <c r="G14" s="23">
        <f>'７－１－１　水稲（食用倒伏しやすい品種）部門収支'!F12*('１　対象経営の概要，２　前提条件'!$AB$27+'１　対象経営の概要，２　前提条件'!$AM$27)+'７－１－２　水稲（食用倒伏しにくい品種）部門収支'!F12*'１　対象経営の概要，２　前提条件'!$AM$28</f>
        <v>0</v>
      </c>
      <c r="H14" s="23">
        <f>'７－１－３　水稲（加工用米）部門収支'!F12*'４　経営収支'!$H$4</f>
        <v>0</v>
      </c>
      <c r="I14" s="23">
        <f>'７－２　ハウスアスパラガス部門収支'!F12*I$4</f>
        <v>4371250</v>
      </c>
      <c r="J14" s="23">
        <f>'７－３　露地アスパラガス部門収支'!F12*J$4</f>
        <v>5245500</v>
      </c>
      <c r="K14" s="20"/>
    </row>
    <row r="15" spans="2:11" ht="20.100000000000001" customHeight="1" x14ac:dyDescent="0.15">
      <c r="B15" s="906"/>
      <c r="C15" s="914"/>
      <c r="D15" s="916" t="s">
        <v>64</v>
      </c>
      <c r="E15" s="24" t="s">
        <v>182</v>
      </c>
      <c r="F15" s="23">
        <f t="shared" si="0"/>
        <v>371098.92045454547</v>
      </c>
      <c r="G15" s="23">
        <f>'７－１－１　水稲（食用倒伏しやすい品種）部門収支'!F13*('１　対象経営の概要，２　前提条件'!$AB$27+'１　対象経営の概要，２　前提条件'!$AM$27)+'７－１－２　水稲（食用倒伏しにくい品種）部門収支'!F13*'１　対象経営の概要，２　前提条件'!$AM$28</f>
        <v>122625</v>
      </c>
      <c r="H15" s="23">
        <f>'７－１－３　水稲（加工用米）部門収支'!F13*'４　経営収支'!$H$4</f>
        <v>41079.375</v>
      </c>
      <c r="I15" s="23">
        <f>'７－２　ハウスアスパラガス部門収支'!F13*I$4</f>
        <v>190343.63636363638</v>
      </c>
      <c r="J15" s="23">
        <f>'７－３　露地アスパラガス部門収支'!F13*J$4</f>
        <v>17050.909090909092</v>
      </c>
      <c r="K15" s="20"/>
    </row>
    <row r="16" spans="2:11" ht="20.100000000000001" customHeight="1" x14ac:dyDescent="0.15">
      <c r="B16" s="906"/>
      <c r="C16" s="914"/>
      <c r="D16" s="917"/>
      <c r="E16" s="24" t="s">
        <v>183</v>
      </c>
      <c r="F16" s="23">
        <f t="shared" si="0"/>
        <v>3278832.6090909094</v>
      </c>
      <c r="G16" s="23">
        <f>'７－１－１　水稲（食用倒伏しやすい品種）部門収支'!F14*('１　対象経営の概要，２　前提条件'!$AB$27+'１　対象経営の概要，２　前提条件'!$AM$27)+'７－１－２　水稲（食用倒伏しにくい品種）部門収支'!F14*'１　対象経営の概要，２　前提条件'!$AM$28</f>
        <v>1902278.4269662923</v>
      </c>
      <c r="H16" s="23">
        <f>'７－１－３　水稲（加工用米）部門収支'!F14*'４　経営収支'!$H$4</f>
        <v>637263.27303370798</v>
      </c>
      <c r="I16" s="23">
        <f>'７－２　ハウスアスパラガス部門収支'!F14*I$4</f>
        <v>246430.30303030304</v>
      </c>
      <c r="J16" s="23">
        <f>'７－３　露地アスパラガス部門収支'!F14*J$4</f>
        <v>492860.60606060608</v>
      </c>
      <c r="K16" s="20"/>
    </row>
    <row r="17" spans="2:11" ht="20.100000000000001" customHeight="1" x14ac:dyDescent="0.15">
      <c r="B17" s="906"/>
      <c r="C17" s="914"/>
      <c r="D17" s="918" t="s">
        <v>95</v>
      </c>
      <c r="E17" s="24" t="s">
        <v>182</v>
      </c>
      <c r="F17" s="23">
        <f t="shared" si="0"/>
        <v>2672654.9500000002</v>
      </c>
      <c r="G17" s="23">
        <f>'７－１－１　水稲（食用倒伏しやすい品種）部門収支'!F15*('１　対象経営の概要，２　前提条件'!$AB$27+'１　対象経営の概要，２　前提条件'!$AM$27)+'７－１－２　水稲（食用倒伏しにくい品種）部門収支'!F15*'１　対象経営の概要，２　前提条件'!$AM$28</f>
        <v>560970</v>
      </c>
      <c r="H17" s="23">
        <f>'７－１－３　水稲（加工用米）部門収支'!F15*'４　経営収支'!$H$4</f>
        <v>187924.95</v>
      </c>
      <c r="I17" s="23">
        <f>'７－２　ハウスアスパラガス部門収支'!F15*I$4</f>
        <v>1853374.5454545456</v>
      </c>
      <c r="J17" s="23">
        <f>'７－３　露地アスパラガス部門収支'!F15*J$4</f>
        <v>70385.454545454559</v>
      </c>
      <c r="K17" s="20"/>
    </row>
    <row r="18" spans="2:11" ht="20.100000000000001" customHeight="1" x14ac:dyDescent="0.15">
      <c r="B18" s="906"/>
      <c r="C18" s="914"/>
      <c r="D18" s="919"/>
      <c r="E18" s="24" t="s">
        <v>183</v>
      </c>
      <c r="F18" s="23">
        <f t="shared" si="0"/>
        <v>10001393.16883117</v>
      </c>
      <c r="G18" s="23">
        <f>'７－１－１　水稲（食用倒伏しやすい品種）部門収支'!F16*('１　対象経営の概要，２　前提条件'!$AB$27+'１　対象経営の概要，２　前提条件'!$AM$27)+'７－１－２　水稲（食用倒伏しにくい品種）部門収支'!F16*'１　対象経営の概要，２　前提条件'!$AM$28</f>
        <v>5902079.6147672562</v>
      </c>
      <c r="H18" s="23">
        <f>'７－１－３　水稲（加工用米）部門収支'!F16*'４　経営収支'!$H$4</f>
        <v>1977196.6709470309</v>
      </c>
      <c r="I18" s="23">
        <f>'７－２　ハウスアスパラガス部門収支'!F16*I$4</f>
        <v>707372.29437229433</v>
      </c>
      <c r="J18" s="23">
        <f>'７－３　露地アスパラガス部門収支'!F16*J$4</f>
        <v>1414744.5887445887</v>
      </c>
      <c r="K18" s="20"/>
    </row>
    <row r="19" spans="2:11" ht="20.100000000000001" customHeight="1" x14ac:dyDescent="0.15">
      <c r="B19" s="906"/>
      <c r="C19" s="914"/>
      <c r="D19" s="917"/>
      <c r="E19" s="26" t="s">
        <v>65</v>
      </c>
      <c r="F19" s="23">
        <f t="shared" si="0"/>
        <v>1017478.2644628098</v>
      </c>
      <c r="G19" s="23">
        <f>'７－１－１　水稲（食用倒伏しやすい品種）部門収支'!F17*('１　対象経営の概要，２　前提条件'!$AB$27+'１　対象経営の概要，２　前提条件'!$AM$27)+'７－１－２　水稲（食用倒伏しにくい品種）部門収支'!F17*'１　対象経営の概要，２　前提条件'!$AM$28</f>
        <v>0</v>
      </c>
      <c r="H19" s="23">
        <f>'７－１－３　水稲（加工用米）部門収支'!F17*'４　経営収支'!$H$4</f>
        <v>0</v>
      </c>
      <c r="I19" s="23">
        <f>'７－２　ハウスアスパラガス部門収支'!F17*I$4</f>
        <v>339159.42148760328</v>
      </c>
      <c r="J19" s="23">
        <f>'７－３　露地アスパラガス部門収支'!F17*J$4</f>
        <v>678318.84297520656</v>
      </c>
      <c r="K19" s="20"/>
    </row>
    <row r="20" spans="2:11" ht="20.100000000000001" customHeight="1" x14ac:dyDescent="0.15">
      <c r="B20" s="906"/>
      <c r="C20" s="914"/>
      <c r="D20" s="920" t="s">
        <v>247</v>
      </c>
      <c r="E20" s="26" t="s">
        <v>130</v>
      </c>
      <c r="F20" s="23">
        <f t="shared" si="0"/>
        <v>0</v>
      </c>
      <c r="G20" s="23">
        <f>'７－１－１　水稲（食用倒伏しやすい品種）部門収支'!F18*('１　対象経営の概要，２　前提条件'!$AB$27+'１　対象経営の概要，２　前提条件'!$AM$27)+'７－１－２　水稲（食用倒伏しにくい品種）部門収支'!F18*'１　対象経営の概要，２　前提条件'!$AM$28</f>
        <v>0</v>
      </c>
      <c r="H20" s="23">
        <f>'７－１－３　水稲（加工用米）部門収支'!F18*'４　経営収支'!$H$4</f>
        <v>0</v>
      </c>
      <c r="I20" s="23">
        <f>'７－２　ハウスアスパラガス部門収支'!F18*I$4</f>
        <v>0</v>
      </c>
      <c r="J20" s="23">
        <f>'７－３　露地アスパラガス部門収支'!F18*J$4</f>
        <v>0</v>
      </c>
      <c r="K20" s="20"/>
    </row>
    <row r="21" spans="2:11" ht="20.100000000000001" customHeight="1" x14ac:dyDescent="0.15">
      <c r="B21" s="906"/>
      <c r="C21" s="914"/>
      <c r="D21" s="920"/>
      <c r="E21" s="26" t="s">
        <v>126</v>
      </c>
      <c r="F21" s="23">
        <f t="shared" si="0"/>
        <v>995643.00000000023</v>
      </c>
      <c r="G21" s="23">
        <f>'７－１－１　水稲（食用倒伏しやすい品種）部門収支'!F19*('１　対象経営の概要，２　前提条件'!$AB$27+'１　対象経営の概要，２　前提条件'!$AM$27)+'７－１－２　水稲（食用倒伏しにくい品種）部門収支'!F19*'１　対象経営の概要，２　前提条件'!$AM$28</f>
        <v>745800.00000000012</v>
      </c>
      <c r="H21" s="23">
        <f>'７－１－３　水稲（加工用米）部門収支'!F19*'４　経営収支'!$H$4</f>
        <v>249843.00000000006</v>
      </c>
      <c r="I21" s="23">
        <f>'７－２　ハウスアスパラガス部門収支'!F19*I$4</f>
        <v>0</v>
      </c>
      <c r="J21" s="23">
        <f>'７－３　露地アスパラガス部門収支'!F19*J$4</f>
        <v>0</v>
      </c>
      <c r="K21" s="20"/>
    </row>
    <row r="22" spans="2:11" ht="20.100000000000001" customHeight="1" x14ac:dyDescent="0.15">
      <c r="B22" s="906"/>
      <c r="C22" s="914"/>
      <c r="D22" s="920"/>
      <c r="E22" s="26" t="s">
        <v>127</v>
      </c>
      <c r="F22" s="23">
        <f t="shared" si="0"/>
        <v>14717160</v>
      </c>
      <c r="G22" s="23">
        <f>'７－１－１　水稲（食用倒伏しやすい品種）部門収支'!F20*('１　対象経営の概要，２　前提条件'!$AB$27+'１　対象経営の概要，２　前提条件'!$AM$27)+'７－１－２　水稲（食用倒伏しにくい品種）部門収支'!F20*'１　対象経営の概要，２　前提条件'!$AM$28</f>
        <v>1116000</v>
      </c>
      <c r="H22" s="23">
        <f>'７－１－３　水稲（加工用米）部門収支'!F20*'４　経営収支'!$H$4</f>
        <v>373860</v>
      </c>
      <c r="I22" s="23">
        <f>'７－２　ハウスアスパラガス部門収支'!F20*I$4</f>
        <v>5310900</v>
      </c>
      <c r="J22" s="23">
        <f>'７－３　露地アスパラガス部門収支'!F20*J$4</f>
        <v>7916400</v>
      </c>
      <c r="K22" s="20"/>
    </row>
    <row r="23" spans="2:11" ht="20.100000000000001" customHeight="1" x14ac:dyDescent="0.15">
      <c r="B23" s="906"/>
      <c r="C23" s="914"/>
      <c r="D23" s="920"/>
      <c r="E23" s="162" t="s">
        <v>129</v>
      </c>
      <c r="F23" s="23">
        <f t="shared" si="0"/>
        <v>188553.636</v>
      </c>
      <c r="G23" s="23">
        <f>'７－１－１　水稲（食用倒伏しやすい品種）部門収支'!F21*('１　対象経営の概要，２　前提条件'!$AB$27+'１　対象経営の概要，２　前提条件'!$AM$27)+'７－１－２　水稲（食用倒伏しにくい品種）部門収支'!F21*'１　対象経営の概要，２　前提条件'!$AM$28</f>
        <v>22341.599999999999</v>
      </c>
      <c r="H23" s="23">
        <f>'７－１－３　水稲（加工用米）部門収支'!F21*'４　経営収支'!$H$4</f>
        <v>7484.4359999999997</v>
      </c>
      <c r="I23" s="23">
        <f>'７－２　ハウスアスパラガス部門収支'!F21*I$4</f>
        <v>63730.8</v>
      </c>
      <c r="J23" s="23">
        <f>'７－３　露地アスパラガス部門収支'!F21*J$4</f>
        <v>94996.800000000003</v>
      </c>
      <c r="K23" s="20"/>
    </row>
    <row r="24" spans="2:11" ht="20.100000000000001" customHeight="1" x14ac:dyDescent="0.15">
      <c r="B24" s="906"/>
      <c r="C24" s="914"/>
      <c r="D24" s="918" t="s">
        <v>66</v>
      </c>
      <c r="E24" s="18" t="s">
        <v>67</v>
      </c>
      <c r="F24" s="23">
        <f t="shared" si="0"/>
        <v>634392</v>
      </c>
      <c r="G24" s="23">
        <f>'７－１－１　水稲（食用倒伏しやすい品種）部門収支'!F22*('１　対象経営の概要，２　前提条件'!$AB$27+'１　対象経営の概要，２　前提条件'!$AM$27)+'７－１－２　水稲（食用倒伏しにくい品種）部門収支'!F22*'１　対象経営の概要，２　前提条件'!$AM$28</f>
        <v>475200</v>
      </c>
      <c r="H24" s="23">
        <f>'７－１－３　水稲（加工用米）部門収支'!F22*'４　経営収支'!$H$4</f>
        <v>159192</v>
      </c>
      <c r="I24" s="23">
        <f>'７－２　ハウスアスパラガス部門収支'!F22*I$4</f>
        <v>0</v>
      </c>
      <c r="J24" s="23">
        <f>'７－３　露地アスパラガス部門収支'!F22*J$4</f>
        <v>0</v>
      </c>
      <c r="K24" s="20"/>
    </row>
    <row r="25" spans="2:11" ht="20.100000000000001" customHeight="1" x14ac:dyDescent="0.15">
      <c r="B25" s="906"/>
      <c r="C25" s="914"/>
      <c r="D25" s="917"/>
      <c r="E25" s="18" t="s">
        <v>96</v>
      </c>
      <c r="F25" s="23">
        <f t="shared" si="0"/>
        <v>1335000</v>
      </c>
      <c r="G25" s="23">
        <f>'７－１－１　水稲（食用倒伏しやすい品種）部門収支'!F23*('１　対象経営の概要，２　前提条件'!$AB$27+'１　対象経営の概要，２　前提条件'!$AM$27)+'７－１－２　水稲（食用倒伏しにくい品種）部門収支'!F23*'１　対象経営の概要，２　前提条件'!$AM$28</f>
        <v>1000000</v>
      </c>
      <c r="H25" s="23">
        <f>'７－１－３　水稲（加工用米）部門収支'!F23*'４　経営収支'!$H$4</f>
        <v>335000</v>
      </c>
      <c r="I25" s="23">
        <f>'７－２　ハウスアスパラガス部門収支'!F23*I$4</f>
        <v>0</v>
      </c>
      <c r="J25" s="23">
        <f>'７－３　露地アスパラガス部門収支'!F23*J$4</f>
        <v>0</v>
      </c>
      <c r="K25" s="20"/>
    </row>
    <row r="26" spans="2:11" ht="20.100000000000001" customHeight="1" x14ac:dyDescent="0.15">
      <c r="B26" s="906"/>
      <c r="C26" s="914"/>
      <c r="D26" s="17" t="s">
        <v>68</v>
      </c>
      <c r="E26" s="18"/>
      <c r="F26" s="23">
        <f t="shared" si="0"/>
        <v>891000</v>
      </c>
      <c r="G26" s="23">
        <f>'７－１－１　水稲（食用倒伏しやすい品種）部門収支'!F24*('１　対象経営の概要，２　前提条件'!$AB$27+'１　対象経営の概要，２　前提条件'!$AM$27)+'７－１－２　水稲（食用倒伏しにくい品種）部門収支'!F24*'１　対象経営の概要，２　前提条件'!$AM$28</f>
        <v>600000</v>
      </c>
      <c r="H26" s="23">
        <f>'７－１－３　水稲（加工用米）部門収支'!F24*'４　経営収支'!$H$4</f>
        <v>201000</v>
      </c>
      <c r="I26" s="23">
        <f>'７－２　ハウスアスパラガス部門収支'!F24*I$4</f>
        <v>30000</v>
      </c>
      <c r="J26" s="23">
        <f>'７－３　露地アスパラガス部門収支'!F24*J$4</f>
        <v>60000</v>
      </c>
      <c r="K26" s="20"/>
    </row>
    <row r="27" spans="2:11" ht="20.100000000000001" customHeight="1" x14ac:dyDescent="0.15">
      <c r="B27" s="906"/>
      <c r="C27" s="914"/>
      <c r="D27" s="17" t="s">
        <v>159</v>
      </c>
      <c r="E27" s="18"/>
      <c r="F27" s="23">
        <f t="shared" si="0"/>
        <v>578046.11521821842</v>
      </c>
      <c r="G27" s="23">
        <f>'７－１－１　水稲（食用倒伏しやすい品種）部門収支'!F25*('１　対象経営の概要，２　前提条件'!$AB$27+'１　対象経営の概要，２　前提条件'!$AM$27)+'７－１－２　水稲（食用倒伏しにくい品種）部門収支'!F25*'１　対象経営の概要，２　前提条件'!$AM$28</f>
        <v>174683.09857538564</v>
      </c>
      <c r="H27" s="23">
        <f>'７－１－３　水稲（加工用米）部門収支'!F25*'４　経営収支'!$H$4</f>
        <v>60402.027175391675</v>
      </c>
      <c r="I27" s="23">
        <f>'７－２　ハウスアスパラガス部門収支'!F25*I$4</f>
        <v>152467.44880217631</v>
      </c>
      <c r="J27" s="23">
        <f>'７－３　露地アスパラガス部門収支'!F25*J$4</f>
        <v>190493.54066526477</v>
      </c>
      <c r="K27" s="20"/>
    </row>
    <row r="28" spans="2:11" ht="20.100000000000001" customHeight="1" x14ac:dyDescent="0.15">
      <c r="B28" s="906"/>
      <c r="C28" s="915"/>
      <c r="D28" s="921" t="s">
        <v>194</v>
      </c>
      <c r="E28" s="922"/>
      <c r="F28" s="602">
        <f t="shared" si="0"/>
        <v>57804611.521821842</v>
      </c>
      <c r="G28" s="25">
        <f>SUM(G8:G27)</f>
        <v>17468309.857538562</v>
      </c>
      <c r="H28" s="25">
        <f>SUM(H8:H27)</f>
        <v>6040202.717539168</v>
      </c>
      <c r="I28" s="25">
        <f>SUM(I8:I27)</f>
        <v>15246744.88021763</v>
      </c>
      <c r="J28" s="25">
        <f>SUM(J8:J27)</f>
        <v>19049354.066526476</v>
      </c>
      <c r="K28" s="20"/>
    </row>
    <row r="29" spans="2:11" ht="20.100000000000001" customHeight="1" x14ac:dyDescent="0.15">
      <c r="B29" s="906"/>
      <c r="C29" s="911" t="s">
        <v>191</v>
      </c>
      <c r="D29" s="923"/>
      <c r="E29" s="912"/>
      <c r="F29" s="545">
        <f t="shared" si="0"/>
        <v>19461588.478178162</v>
      </c>
      <c r="G29" s="21">
        <f>G7-G28</f>
        <v>591690.14246143773</v>
      </c>
      <c r="H29" s="21">
        <f>H7-H28</f>
        <v>-693602.71753916796</v>
      </c>
      <c r="I29" s="21">
        <f>I7-I28</f>
        <v>10359255.11978237</v>
      </c>
      <c r="J29" s="21">
        <f>J7-J28</f>
        <v>9204245.9334735237</v>
      </c>
      <c r="K29" s="20"/>
    </row>
    <row r="30" spans="2:11" ht="20.100000000000001" customHeight="1" x14ac:dyDescent="0.15">
      <c r="B30" s="906"/>
      <c r="C30" s="924" t="s">
        <v>187</v>
      </c>
      <c r="D30" s="927" t="s">
        <v>69</v>
      </c>
      <c r="E30" s="36" t="s">
        <v>3</v>
      </c>
      <c r="F30" s="23">
        <f t="shared" si="0"/>
        <v>391200</v>
      </c>
      <c r="G30" s="23">
        <f>'７－１－１　水稲（食用倒伏しやすい品種）部門収支'!F27*('１　対象経営の概要，２　前提条件'!$AB$27+'１　対象経営の概要，２　前提条件'!$AM$27)+'７－１－２　水稲（食用倒伏しにくい品種）部門収支'!F27*'１　対象経営の概要，２　前提条件'!$AM$28</f>
        <v>284000</v>
      </c>
      <c r="H30" s="23">
        <f>'７－１－３　水稲（加工用米）部門収支'!F27*'４　経営収支'!$H$4</f>
        <v>107200</v>
      </c>
      <c r="I30" s="23">
        <f>'７－２　ハウスアスパラガス部門収支'!F27*I$4</f>
        <v>0</v>
      </c>
      <c r="J30" s="23">
        <f>'７－３　露地アスパラガス部門収支'!F27*J$4</f>
        <v>0</v>
      </c>
      <c r="K30" s="20"/>
    </row>
    <row r="31" spans="2:11" ht="20.100000000000001" customHeight="1" x14ac:dyDescent="0.15">
      <c r="B31" s="906"/>
      <c r="C31" s="925"/>
      <c r="D31" s="928"/>
      <c r="E31" s="36" t="s">
        <v>4</v>
      </c>
      <c r="F31" s="23">
        <f t="shared" si="0"/>
        <v>1100000</v>
      </c>
      <c r="G31" s="23">
        <f>'７－１－１　水稲（食用倒伏しやすい品種）部門収支'!F28*('１　対象経営の概要，２　前提条件'!$AB$27+'１　対象経営の概要，２　前提条件'!$AM$27)+'７－１－２　水稲（食用倒伏しにくい品種）部門収支'!F28*'１　対象経営の概要，２　前提条件'!$AM$28</f>
        <v>0</v>
      </c>
      <c r="H31" s="23">
        <f>'７－１－３　水稲（加工用米）部門収支'!F28*'４　経営収支'!$H$4</f>
        <v>0</v>
      </c>
      <c r="I31" s="23">
        <f>'７－２　ハウスアスパラガス部門収支'!F28*I$4</f>
        <v>500000</v>
      </c>
      <c r="J31" s="23">
        <f>'７－３　露地アスパラガス部門収支'!F28*J$4</f>
        <v>600000</v>
      </c>
      <c r="K31" s="20"/>
    </row>
    <row r="32" spans="2:11" ht="20.100000000000001" customHeight="1" x14ac:dyDescent="0.15">
      <c r="B32" s="906"/>
      <c r="C32" s="925"/>
      <c r="D32" s="929"/>
      <c r="E32" s="36" t="s">
        <v>8</v>
      </c>
      <c r="F32" s="23">
        <f t="shared" si="0"/>
        <v>6571104</v>
      </c>
      <c r="G32" s="23">
        <f>'７－１－１　水稲（食用倒伏しやすい品種）部門収支'!F29*('１　対象経営の概要，２　前提条件'!$AB$27+'１　対象経営の概要，２　前提条件'!$AM$27)+'７－１－２　水稲（食用倒伏しにくい品種）部門収支'!F29*'１　対象経営の概要，２　前提条件'!$AM$28</f>
        <v>343750</v>
      </c>
      <c r="H32" s="23">
        <f>'７－１－３　水稲（加工用米）部門収支'!F29*'４　経営収支'!$H$4</f>
        <v>33500</v>
      </c>
      <c r="I32" s="23">
        <f>'７－２　ハウスアスパラガス部門収支'!F29*I$4</f>
        <v>2944690</v>
      </c>
      <c r="J32" s="23">
        <f>'７－３　露地アスパラガス部門収支'!F29*J$4</f>
        <v>3249164</v>
      </c>
      <c r="K32" s="20"/>
    </row>
    <row r="33" spans="2:11" ht="20.100000000000001" customHeight="1" x14ac:dyDescent="0.15">
      <c r="B33" s="906"/>
      <c r="C33" s="925"/>
      <c r="D33" s="36" t="s">
        <v>70</v>
      </c>
      <c r="E33" s="37"/>
      <c r="F33" s="23">
        <f>SUM(G33:J33)</f>
        <v>0</v>
      </c>
      <c r="G33" s="23">
        <v>0</v>
      </c>
      <c r="H33" s="23">
        <v>0</v>
      </c>
      <c r="I33" s="23">
        <v>0</v>
      </c>
      <c r="J33" s="23">
        <v>0</v>
      </c>
      <c r="K33" s="20"/>
    </row>
    <row r="34" spans="2:11" ht="20.100000000000001" customHeight="1" x14ac:dyDescent="0.15">
      <c r="B34" s="906"/>
      <c r="C34" s="925"/>
      <c r="D34" s="932" t="s">
        <v>248</v>
      </c>
      <c r="E34" s="26" t="s">
        <v>130</v>
      </c>
      <c r="F34" s="23">
        <f>SUM(G34:J34)</f>
        <v>0</v>
      </c>
      <c r="G34" s="23">
        <v>0</v>
      </c>
      <c r="H34" s="23">
        <v>0</v>
      </c>
      <c r="I34" s="23">
        <v>0</v>
      </c>
      <c r="J34" s="23">
        <v>0</v>
      </c>
      <c r="K34" s="20"/>
    </row>
    <row r="35" spans="2:11" ht="20.100000000000001" customHeight="1" x14ac:dyDescent="0.15">
      <c r="B35" s="906"/>
      <c r="C35" s="925"/>
      <c r="D35" s="932"/>
      <c r="E35" s="26" t="s">
        <v>129</v>
      </c>
      <c r="F35" s="23">
        <f>SUM(G35:J35)</f>
        <v>0</v>
      </c>
      <c r="G35" s="23">
        <v>0</v>
      </c>
      <c r="H35" s="23">
        <v>0</v>
      </c>
      <c r="I35" s="23">
        <v>0</v>
      </c>
      <c r="J35" s="23">
        <v>0</v>
      </c>
      <c r="K35" s="20"/>
    </row>
    <row r="36" spans="2:11" ht="20.100000000000001" customHeight="1" x14ac:dyDescent="0.15">
      <c r="B36" s="906"/>
      <c r="C36" s="925"/>
      <c r="D36" s="36" t="s">
        <v>71</v>
      </c>
      <c r="E36" s="37"/>
      <c r="F36" s="23">
        <f>SUM(G36:J36)</f>
        <v>0</v>
      </c>
      <c r="G36" s="23">
        <v>0</v>
      </c>
      <c r="H36" s="23">
        <v>0</v>
      </c>
      <c r="I36" s="23">
        <v>0</v>
      </c>
      <c r="J36" s="23">
        <v>0</v>
      </c>
      <c r="K36" s="20"/>
    </row>
    <row r="37" spans="2:11" ht="20.100000000000001" customHeight="1" x14ac:dyDescent="0.15">
      <c r="B37" s="906"/>
      <c r="C37" s="925"/>
      <c r="D37" s="36" t="s">
        <v>97</v>
      </c>
      <c r="E37" s="37"/>
      <c r="F37" s="23">
        <f>SUM(G37:J37)</f>
        <v>0</v>
      </c>
      <c r="G37" s="23">
        <v>0</v>
      </c>
      <c r="H37" s="23">
        <v>0</v>
      </c>
      <c r="I37" s="23">
        <v>0</v>
      </c>
      <c r="J37" s="23">
        <v>0</v>
      </c>
      <c r="K37" s="20"/>
    </row>
    <row r="38" spans="2:11" ht="20.100000000000001" customHeight="1" x14ac:dyDescent="0.15">
      <c r="B38" s="906"/>
      <c r="C38" s="925"/>
      <c r="D38" s="36" t="s">
        <v>133</v>
      </c>
      <c r="E38" s="37"/>
      <c r="F38" s="23">
        <f t="shared" si="0"/>
        <v>502196.11111111107</v>
      </c>
      <c r="G38" s="23">
        <f>'７－１－１　水稲（食用倒伏しやすい品種）部門収支'!F35*('１　対象経営の概要，２　前提条件'!$AB$27+'１　対象経営の概要，２　前提条件'!$AM$27)+'７－１－２　水稲（食用倒伏しにくい品種）部門収支'!F35*'１　対象経営の概要，２　前提条件'!$AM$28</f>
        <v>175592.59259259258</v>
      </c>
      <c r="H38" s="23">
        <f>'７－１－３　水稲（加工用米）部門収支'!F35*'４　経営収支'!$H$4</f>
        <v>58823.518518518518</v>
      </c>
      <c r="I38" s="23">
        <f>'７－２　ハウスアスパラガス部門収支'!F35*I$4</f>
        <v>265073.33333333331</v>
      </c>
      <c r="J38" s="23">
        <f>'７－３　露地アスパラガス部門収支'!F35*J$4</f>
        <v>2706.666666666667</v>
      </c>
      <c r="K38" s="20"/>
    </row>
    <row r="39" spans="2:11" ht="20.100000000000001" customHeight="1" x14ac:dyDescent="0.15">
      <c r="B39" s="906"/>
      <c r="C39" s="925"/>
      <c r="D39" s="36" t="s">
        <v>98</v>
      </c>
      <c r="E39" s="37"/>
      <c r="F39" s="23">
        <f>SUM(G39:J39)</f>
        <v>47520</v>
      </c>
      <c r="G39" s="23">
        <f>'７－１－１　水稲（食用倒伏しやすい品種）部門収支'!F36*('１　対象経営の概要，２　前提条件'!$AB$27+'１　対象経営の概要，２　前提条件'!$AM$27)+'７－１－２　水稲（食用倒伏しにくい品種）部門収支'!F36*'１　対象経営の概要，２　前提条件'!$AM$28</f>
        <v>0</v>
      </c>
      <c r="H39" s="23">
        <f>'７－１－３　水稲（加工用米）部門収支'!F36*'４　経営収支'!$H$4</f>
        <v>0</v>
      </c>
      <c r="I39" s="23">
        <f>'７－２　ハウスアスパラガス部門収支'!F36*I$4</f>
        <v>15840</v>
      </c>
      <c r="J39" s="23">
        <f>'７－３　露地アスパラガス部門収支'!F36*J$4</f>
        <v>31680</v>
      </c>
      <c r="K39" s="20"/>
    </row>
    <row r="40" spans="2:11" ht="20.100000000000001" customHeight="1" x14ac:dyDescent="0.15">
      <c r="B40" s="906"/>
      <c r="C40" s="925"/>
      <c r="D40" s="36" t="s">
        <v>72</v>
      </c>
      <c r="E40" s="37"/>
      <c r="F40" s="23">
        <f t="shared" si="0"/>
        <v>146625.21055555556</v>
      </c>
      <c r="G40" s="23">
        <f>'７－１－１　水稲（食用倒伏しやすい品種）部門収支'!F37*('１　対象経営の概要，２　前提条件'!$AB$27+'１　対象経営の概要，２　前提条件'!$AM$27)+'７－１－２　水稲（食用倒伏しにくい品種）部門収支'!F37*'１　対象経営の概要，２　前提条件'!$AM$28</f>
        <v>92921.296296296292</v>
      </c>
      <c r="H40" s="23">
        <f>'７－１－３　水稲（加工用米）部門収支'!F37*'４　経営収支'!$H$4</f>
        <v>31128.634259259259</v>
      </c>
      <c r="I40" s="23">
        <f>'７－２　ハウスアスパラガス部門収支'!F37*I$4</f>
        <v>21363.813333333335</v>
      </c>
      <c r="J40" s="23">
        <f>'７－３　露地アスパラガス部門収支'!F37*J$4</f>
        <v>1211.4666666666665</v>
      </c>
      <c r="K40" s="20"/>
    </row>
    <row r="41" spans="2:11" ht="20.100000000000001" customHeight="1" x14ac:dyDescent="0.15">
      <c r="B41" s="906"/>
      <c r="C41" s="925"/>
      <c r="D41" s="36" t="s">
        <v>0</v>
      </c>
      <c r="E41" s="37"/>
      <c r="F41" s="23">
        <f t="shared" si="0"/>
        <v>0</v>
      </c>
      <c r="G41" s="23">
        <v>0</v>
      </c>
      <c r="H41" s="23">
        <v>0</v>
      </c>
      <c r="I41" s="23">
        <v>0</v>
      </c>
      <c r="J41" s="23">
        <v>0</v>
      </c>
      <c r="K41" s="20"/>
    </row>
    <row r="42" spans="2:11" ht="20.100000000000001" customHeight="1" thickBot="1" x14ac:dyDescent="0.2">
      <c r="B42" s="907"/>
      <c r="C42" s="926"/>
      <c r="D42" s="930" t="s">
        <v>192</v>
      </c>
      <c r="E42" s="931"/>
      <c r="F42" s="547">
        <f t="shared" si="0"/>
        <v>8758645.3216666672</v>
      </c>
      <c r="G42" s="28">
        <f t="shared" ref="G42:H42" si="1">SUM(G30:G41)</f>
        <v>896263.88888888888</v>
      </c>
      <c r="H42" s="28">
        <f t="shared" si="1"/>
        <v>230652.15277777778</v>
      </c>
      <c r="I42" s="28">
        <f>SUM(I30:I41)</f>
        <v>3746967.146666667</v>
      </c>
      <c r="J42" s="28">
        <f>SUM(J30:J41)</f>
        <v>3884762.1333333333</v>
      </c>
      <c r="K42" s="29"/>
    </row>
    <row r="43" spans="2:11" ht="20.100000000000001" customHeight="1" thickBot="1" x14ac:dyDescent="0.2">
      <c r="B43" s="935" t="s">
        <v>195</v>
      </c>
      <c r="C43" s="936"/>
      <c r="D43" s="936"/>
      <c r="E43" s="936"/>
      <c r="F43" s="546">
        <f t="shared" si="0"/>
        <v>10702943.156511497</v>
      </c>
      <c r="G43" s="255">
        <f t="shared" ref="G43:H43" si="2">G29-G42</f>
        <v>-304573.74642745114</v>
      </c>
      <c r="H43" s="255">
        <f t="shared" si="2"/>
        <v>-924254.87031694571</v>
      </c>
      <c r="I43" s="30">
        <f>I29-I42</f>
        <v>6612287.9731157031</v>
      </c>
      <c r="J43" s="255">
        <f>J29-J42</f>
        <v>5319483.8001401909</v>
      </c>
      <c r="K43" s="31"/>
    </row>
    <row r="44" spans="2:11" ht="20.100000000000001" customHeight="1" x14ac:dyDescent="0.15">
      <c r="B44" s="905" t="s">
        <v>99</v>
      </c>
      <c r="C44" s="938" t="s">
        <v>196</v>
      </c>
      <c r="D44" s="32" t="s">
        <v>132</v>
      </c>
      <c r="E44" s="33"/>
      <c r="F44" s="15">
        <f t="shared" si="0"/>
        <v>4649000</v>
      </c>
      <c r="G44" s="543">
        <f>'７－１－１　水稲（食用倒伏しやすい品種）部門収支'!F40*('１　対象経営の概要，２　前提条件'!$AB$27+'１　対象経営の概要，２　前提条件'!$AM$27)+'７－１－２　水稲（食用倒伏しにくい品種）部門収支'!F40*'１　対象経営の概要，２　前提条件'!$AM$28</f>
        <v>1500000</v>
      </c>
      <c r="H44" s="23">
        <f>'７－１－３　水稲（加工用米）部門収支'!F40*'４　経営収支'!$H$4</f>
        <v>3149000</v>
      </c>
      <c r="I44" s="34">
        <f>'７－２　ハウスアスパラガス部門収支'!F40*I$4</f>
        <v>0</v>
      </c>
      <c r="J44" s="254">
        <f>'７－３　露地アスパラガス部門収支'!F40*J$4</f>
        <v>0</v>
      </c>
      <c r="K44" s="16" t="s">
        <v>350</v>
      </c>
    </row>
    <row r="45" spans="2:11" ht="20.100000000000001" customHeight="1" x14ac:dyDescent="0.15">
      <c r="B45" s="906"/>
      <c r="C45" s="939"/>
      <c r="D45" s="17" t="s">
        <v>131</v>
      </c>
      <c r="E45" s="18"/>
      <c r="F45" s="23">
        <f t="shared" si="0"/>
        <v>0</v>
      </c>
      <c r="G45" s="543">
        <f>'７－１－１　水稲（食用倒伏しやすい品種）部門収支'!F41*('１　対象経営の概要，２　前提条件'!$AB$27+'１　対象経営の概要，２　前提条件'!$AM$27)+'７－１－２　水稲（食用倒伏しにくい品種）部門収支'!F41*'１　対象経営の概要，２　前提条件'!$AM$28</f>
        <v>0</v>
      </c>
      <c r="H45" s="23">
        <f>'７－１－３　水稲（加工用米）部門収支'!F41*'４　経営収支'!$H$4</f>
        <v>0</v>
      </c>
      <c r="I45" s="19">
        <f>'７－２　ハウスアスパラガス部門収支'!F41*I$4</f>
        <v>0</v>
      </c>
      <c r="J45" s="23">
        <f>'７－３　露地アスパラガス部門収支'!F41*J$4</f>
        <v>0</v>
      </c>
      <c r="K45" s="35"/>
    </row>
    <row r="46" spans="2:11" ht="20.100000000000001" customHeight="1" x14ac:dyDescent="0.15">
      <c r="B46" s="906"/>
      <c r="C46" s="940"/>
      <c r="D46" s="36" t="s">
        <v>73</v>
      </c>
      <c r="E46" s="18"/>
      <c r="F46" s="23">
        <f t="shared" si="0"/>
        <v>0</v>
      </c>
      <c r="G46" s="543">
        <f>'７－１－１　水稲（食用倒伏しやすい品種）部門収支'!F42*('１　対象経営の概要，２　前提条件'!$AB$27+'１　対象経営の概要，２　前提条件'!$AM$27)+'７－１－２　水稲（食用倒伏しにくい品種）部門収支'!F42*'１　対象経営の概要，２　前提条件'!$AM$28</f>
        <v>0</v>
      </c>
      <c r="H46" s="23">
        <f>'７－１－３　水稲（加工用米）部門収支'!F42*'４　経営収支'!$H$4</f>
        <v>0</v>
      </c>
      <c r="I46" s="19">
        <f>'７－２　ハウスアスパラガス部門収支'!F42*I$4</f>
        <v>0</v>
      </c>
      <c r="J46" s="23">
        <f>'７－３　露地アスパラガス部門収支'!F42*J$4</f>
        <v>0</v>
      </c>
      <c r="K46" s="20"/>
    </row>
    <row r="47" spans="2:11" ht="20.100000000000001" customHeight="1" x14ac:dyDescent="0.15">
      <c r="B47" s="906"/>
      <c r="C47" s="940" t="s">
        <v>197</v>
      </c>
      <c r="D47" s="36" t="s">
        <v>249</v>
      </c>
      <c r="E47" s="37"/>
      <c r="F47" s="23">
        <f t="shared" si="0"/>
        <v>0</v>
      </c>
      <c r="G47" s="543">
        <f>'７－１－１　水稲（食用倒伏しやすい品種）部門収支'!F43*('１　対象経営の概要，２　前提条件'!$AB$27+'１　対象経営の概要，２　前提条件'!$AM$27)+'７－１－２　水稲（食用倒伏しにくい品種）部門収支'!F43*'１　対象経営の概要，２　前提条件'!$AM$28</f>
        <v>0</v>
      </c>
      <c r="H47" s="23">
        <f>'７－１－３　水稲（加工用米）部門収支'!F43*'４　経営収支'!$H$4</f>
        <v>0</v>
      </c>
      <c r="I47" s="19">
        <f>'７－２　ハウスアスパラガス部門収支'!F43*I$4</f>
        <v>0</v>
      </c>
      <c r="J47" s="23">
        <f>'７－３　露地アスパラガス部門収支'!F43*J$4</f>
        <v>0</v>
      </c>
      <c r="K47" s="35"/>
    </row>
    <row r="48" spans="2:11" ht="20.100000000000001" customHeight="1" x14ac:dyDescent="0.15">
      <c r="B48" s="906"/>
      <c r="C48" s="924"/>
      <c r="D48" s="38" t="s">
        <v>1</v>
      </c>
      <c r="E48" s="39"/>
      <c r="F48" s="23">
        <f t="shared" si="0"/>
        <v>0</v>
      </c>
      <c r="G48" s="543">
        <f>'７－１－１　水稲（食用倒伏しやすい品種）部門収支'!F44*('１　対象経営の概要，２　前提条件'!$AB$27+'１　対象経営の概要，２　前提条件'!$AM$27)+'７－１－２　水稲（食用倒伏しにくい品種）部門収支'!F44*'１　対象経営の概要，２　前提条件'!$AM$28</f>
        <v>0</v>
      </c>
      <c r="H48" s="23">
        <f>'７－１－３　水稲（加工用米）部門収支'!F44*'４　経営収支'!$H$4</f>
        <v>0</v>
      </c>
      <c r="I48" s="19">
        <f>'７－２　ハウスアスパラガス部門収支'!F44*I$4</f>
        <v>0</v>
      </c>
      <c r="J48" s="23">
        <f>'７－３　露地アスパラガス部門収支'!F44*J$4</f>
        <v>0</v>
      </c>
      <c r="K48" s="40"/>
    </row>
    <row r="49" spans="2:11" ht="20.100000000000001" customHeight="1" thickBot="1" x14ac:dyDescent="0.2">
      <c r="B49" s="937"/>
      <c r="C49" s="930" t="s">
        <v>198</v>
      </c>
      <c r="D49" s="941"/>
      <c r="E49" s="931"/>
      <c r="F49" s="547">
        <f t="shared" si="0"/>
        <v>4649000</v>
      </c>
      <c r="G49" s="41">
        <f t="shared" ref="G49:H49" si="3">SUM(G44:G46)-SUM(G47:G48)</f>
        <v>1500000</v>
      </c>
      <c r="H49" s="41">
        <f t="shared" si="3"/>
        <v>3149000</v>
      </c>
      <c r="I49" s="41">
        <f t="shared" ref="I49:J49" si="4">SUM(I44:I46)-SUM(I47:I48)</f>
        <v>0</v>
      </c>
      <c r="J49" s="41">
        <f t="shared" si="4"/>
        <v>0</v>
      </c>
      <c r="K49" s="29"/>
    </row>
    <row r="50" spans="2:11" ht="20.100000000000001" customHeight="1" x14ac:dyDescent="0.15">
      <c r="B50" s="933" t="s">
        <v>199</v>
      </c>
      <c r="C50" s="934"/>
      <c r="D50" s="934"/>
      <c r="E50" s="934"/>
      <c r="F50" s="546">
        <f t="shared" si="0"/>
        <v>15351943.156511497</v>
      </c>
      <c r="G50" s="544">
        <f t="shared" ref="G50:H50" si="5">G43+G49</f>
        <v>1195426.2535725487</v>
      </c>
      <c r="H50" s="544">
        <f t="shared" si="5"/>
        <v>2224745.1296830541</v>
      </c>
      <c r="I50" s="42">
        <f>I43+I49</f>
        <v>6612287.9731157031</v>
      </c>
      <c r="J50" s="42">
        <f>J43+J49</f>
        <v>5319483.8001401909</v>
      </c>
      <c r="K50" s="35"/>
    </row>
  </sheetData>
  <mergeCells count="22">
    <mergeCell ref="B50:E50"/>
    <mergeCell ref="B43:E43"/>
    <mergeCell ref="B44:B49"/>
    <mergeCell ref="C44:C46"/>
    <mergeCell ref="C47:C48"/>
    <mergeCell ref="C49:E49"/>
    <mergeCell ref="B3:E4"/>
    <mergeCell ref="K3:K4"/>
    <mergeCell ref="B5:B42"/>
    <mergeCell ref="C5:C7"/>
    <mergeCell ref="D7:E7"/>
    <mergeCell ref="C8:C28"/>
    <mergeCell ref="D15:D16"/>
    <mergeCell ref="D17:D19"/>
    <mergeCell ref="D20:D23"/>
    <mergeCell ref="D24:D25"/>
    <mergeCell ref="D28:E28"/>
    <mergeCell ref="C29:E29"/>
    <mergeCell ref="C30:C42"/>
    <mergeCell ref="D30:D32"/>
    <mergeCell ref="D42:E42"/>
    <mergeCell ref="D34:D35"/>
  </mergeCells>
  <phoneticPr fontId="4"/>
  <pageMargins left="0.78740157480314965" right="0.78740157480314965" top="0.78740157480314965" bottom="0.78740157480314965" header="0.39370078740157483" footer="0.39370078740157483"/>
  <pageSetup paperSize="9" scale="5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4"/>
  <sheetViews>
    <sheetView showZeros="0" zoomScale="75" zoomScaleNormal="75" zoomScaleSheetLayoutView="75" workbookViewId="0"/>
  </sheetViews>
  <sheetFormatPr defaultColWidth="9" defaultRowHeight="13.5" x14ac:dyDescent="0.15"/>
  <cols>
    <col min="1" max="1" width="1.625" style="43" customWidth="1"/>
    <col min="2" max="2" width="22.625" style="43" customWidth="1"/>
    <col min="3" max="38" width="6.125" style="43" customWidth="1"/>
    <col min="39" max="39" width="7" style="43" customWidth="1"/>
    <col min="40" max="40" width="1.5" style="43" customWidth="1"/>
    <col min="41" max="44" width="0" style="43" hidden="1" customWidth="1"/>
    <col min="45" max="16384" width="9" style="43"/>
  </cols>
  <sheetData>
    <row r="1" spans="2:62" ht="9.9499999999999993" customHeight="1" x14ac:dyDescent="0.15"/>
    <row r="2" spans="2:62" ht="24.95" customHeight="1" thickBot="1" x14ac:dyDescent="0.2">
      <c r="B2" s="4" t="s">
        <v>136</v>
      </c>
      <c r="C2" s="4"/>
      <c r="D2" s="4"/>
      <c r="E2" s="4"/>
      <c r="F2" s="4"/>
      <c r="G2" s="4"/>
      <c r="H2" s="4"/>
      <c r="I2" s="4"/>
      <c r="J2" s="4"/>
      <c r="K2" s="259" t="s">
        <v>237</v>
      </c>
      <c r="L2" s="942" t="s">
        <v>573</v>
      </c>
      <c r="M2" s="942"/>
      <c r="N2" s="259" t="s">
        <v>238</v>
      </c>
      <c r="O2" s="70" t="s">
        <v>239</v>
      </c>
      <c r="P2" s="4"/>
      <c r="Q2" s="4"/>
      <c r="R2" s="4"/>
      <c r="S2" s="4"/>
      <c r="T2" s="4"/>
      <c r="U2" s="4"/>
      <c r="V2" s="45"/>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20.100000000000001" customHeight="1" x14ac:dyDescent="0.15">
      <c r="B3" s="951" t="s">
        <v>574</v>
      </c>
      <c r="C3" s="943">
        <v>1</v>
      </c>
      <c r="D3" s="944"/>
      <c r="E3" s="945"/>
      <c r="F3" s="943">
        <v>2</v>
      </c>
      <c r="G3" s="944"/>
      <c r="H3" s="945"/>
      <c r="I3" s="943">
        <v>3</v>
      </c>
      <c r="J3" s="944"/>
      <c r="K3" s="945"/>
      <c r="L3" s="943">
        <v>4</v>
      </c>
      <c r="M3" s="944"/>
      <c r="N3" s="945"/>
      <c r="O3" s="943">
        <v>5</v>
      </c>
      <c r="P3" s="944"/>
      <c r="Q3" s="945"/>
      <c r="R3" s="943">
        <v>6</v>
      </c>
      <c r="S3" s="944"/>
      <c r="T3" s="945"/>
      <c r="U3" s="943">
        <v>7</v>
      </c>
      <c r="V3" s="944"/>
      <c r="W3" s="945"/>
      <c r="X3" s="943">
        <v>8</v>
      </c>
      <c r="Y3" s="944"/>
      <c r="Z3" s="945"/>
      <c r="AA3" s="943">
        <v>9</v>
      </c>
      <c r="AB3" s="944"/>
      <c r="AC3" s="945"/>
      <c r="AD3" s="943">
        <v>10</v>
      </c>
      <c r="AE3" s="944"/>
      <c r="AF3" s="945"/>
      <c r="AG3" s="943">
        <v>11</v>
      </c>
      <c r="AH3" s="944"/>
      <c r="AI3" s="945"/>
      <c r="AJ3" s="943">
        <v>12</v>
      </c>
      <c r="AK3" s="944"/>
      <c r="AL3" s="945"/>
      <c r="AM3" s="946" t="s">
        <v>34</v>
      </c>
      <c r="AO3" s="621" t="s">
        <v>575</v>
      </c>
      <c r="AP3" s="621" t="s">
        <v>576</v>
      </c>
      <c r="AQ3" s="621" t="s">
        <v>25</v>
      </c>
    </row>
    <row r="4" spans="2:62" ht="20.100000000000001" customHeight="1" x14ac:dyDescent="0.15">
      <c r="B4" s="950"/>
      <c r="C4" s="509" t="s">
        <v>35</v>
      </c>
      <c r="D4" s="54" t="s">
        <v>36</v>
      </c>
      <c r="E4" s="510" t="s">
        <v>37</v>
      </c>
      <c r="F4" s="509" t="s">
        <v>35</v>
      </c>
      <c r="G4" s="510" t="s">
        <v>36</v>
      </c>
      <c r="H4" s="510" t="s">
        <v>37</v>
      </c>
      <c r="I4" s="509" t="s">
        <v>35</v>
      </c>
      <c r="J4" s="510" t="s">
        <v>36</v>
      </c>
      <c r="K4" s="510" t="s">
        <v>37</v>
      </c>
      <c r="L4" s="509" t="s">
        <v>35</v>
      </c>
      <c r="M4" s="510" t="s">
        <v>36</v>
      </c>
      <c r="N4" s="510" t="s">
        <v>37</v>
      </c>
      <c r="O4" s="509" t="s">
        <v>35</v>
      </c>
      <c r="P4" s="510" t="s">
        <v>36</v>
      </c>
      <c r="Q4" s="510" t="s">
        <v>37</v>
      </c>
      <c r="R4" s="509" t="s">
        <v>35</v>
      </c>
      <c r="S4" s="511" t="s">
        <v>36</v>
      </c>
      <c r="T4" s="511" t="s">
        <v>37</v>
      </c>
      <c r="U4" s="509" t="s">
        <v>35</v>
      </c>
      <c r="V4" s="510" t="s">
        <v>36</v>
      </c>
      <c r="W4" s="510" t="s">
        <v>37</v>
      </c>
      <c r="X4" s="509" t="s">
        <v>35</v>
      </c>
      <c r="Y4" s="510" t="s">
        <v>36</v>
      </c>
      <c r="Z4" s="510" t="s">
        <v>37</v>
      </c>
      <c r="AA4" s="509" t="s">
        <v>35</v>
      </c>
      <c r="AB4" s="510" t="s">
        <v>36</v>
      </c>
      <c r="AC4" s="510" t="s">
        <v>37</v>
      </c>
      <c r="AD4" s="509" t="s">
        <v>35</v>
      </c>
      <c r="AE4" s="510" t="s">
        <v>36</v>
      </c>
      <c r="AF4" s="510" t="s">
        <v>37</v>
      </c>
      <c r="AG4" s="509" t="s">
        <v>35</v>
      </c>
      <c r="AH4" s="510" t="s">
        <v>36</v>
      </c>
      <c r="AI4" s="510" t="s">
        <v>37</v>
      </c>
      <c r="AJ4" s="509" t="s">
        <v>35</v>
      </c>
      <c r="AK4" s="510" t="s">
        <v>36</v>
      </c>
      <c r="AL4" s="510" t="s">
        <v>37</v>
      </c>
      <c r="AM4" s="947"/>
      <c r="AO4" s="621"/>
      <c r="AP4" s="621"/>
      <c r="AQ4" s="621"/>
    </row>
    <row r="5" spans="2:62" ht="20.100000000000001" customHeight="1" x14ac:dyDescent="0.15">
      <c r="B5" s="948" t="s">
        <v>577</v>
      </c>
      <c r="C5" s="56"/>
      <c r="D5" s="4"/>
      <c r="E5" s="4"/>
      <c r="F5" s="4"/>
      <c r="G5" s="4"/>
      <c r="H5" s="4"/>
      <c r="I5" s="4"/>
      <c r="J5" s="4"/>
      <c r="K5" s="4"/>
      <c r="L5" s="4"/>
      <c r="M5" s="4"/>
      <c r="N5" s="45"/>
      <c r="O5" s="45"/>
      <c r="P5" s="4"/>
      <c r="Q5" s="4"/>
      <c r="R5" s="4"/>
      <c r="S5" s="4"/>
      <c r="T5" s="4"/>
      <c r="U5" s="4"/>
      <c r="V5" s="4"/>
      <c r="W5" s="4"/>
      <c r="X5" s="4"/>
      <c r="Y5" s="4"/>
      <c r="Z5" s="4"/>
      <c r="AA5" s="4"/>
      <c r="AB5" s="4"/>
      <c r="AC5" s="4"/>
      <c r="AD5" s="4"/>
      <c r="AE5" s="4"/>
      <c r="AF5" s="4"/>
      <c r="AG5" s="4"/>
      <c r="AH5" s="4"/>
      <c r="AI5" s="4"/>
      <c r="AJ5" s="4"/>
      <c r="AK5" s="4"/>
      <c r="AL5" s="4"/>
      <c r="AM5" s="57"/>
      <c r="AO5" s="621"/>
      <c r="AP5" s="621"/>
      <c r="AQ5" s="621"/>
    </row>
    <row r="6" spans="2:62" ht="20.100000000000001" customHeight="1" x14ac:dyDescent="0.15">
      <c r="B6" s="949"/>
      <c r="C6" s="56"/>
      <c r="D6" s="4"/>
      <c r="E6" s="4"/>
      <c r="F6" s="4"/>
      <c r="G6" s="4"/>
      <c r="H6" s="4"/>
      <c r="I6" s="4"/>
      <c r="J6" s="4"/>
      <c r="K6" s="4"/>
      <c r="M6" s="4"/>
      <c r="N6" s="398"/>
      <c r="O6" s="512" t="s">
        <v>538</v>
      </c>
      <c r="P6" s="513"/>
      <c r="Q6" s="399"/>
      <c r="R6" s="4"/>
      <c r="S6" s="4"/>
      <c r="T6" s="4"/>
      <c r="U6" s="4"/>
      <c r="V6" s="4"/>
      <c r="W6" s="4"/>
      <c r="X6" s="4"/>
      <c r="Y6" s="4"/>
      <c r="Z6" s="398"/>
      <c r="AA6" s="513"/>
      <c r="AB6" s="512" t="s">
        <v>335</v>
      </c>
      <c r="AC6" s="513"/>
      <c r="AD6" s="513"/>
      <c r="AE6" s="399"/>
      <c r="AF6" s="4"/>
      <c r="AG6" s="4"/>
      <c r="AH6" s="4"/>
      <c r="AI6" s="4"/>
      <c r="AJ6" s="4"/>
      <c r="AK6" s="4"/>
      <c r="AL6" s="4"/>
      <c r="AM6" s="57"/>
      <c r="AO6" s="621"/>
      <c r="AP6" s="621"/>
      <c r="AQ6" s="621"/>
    </row>
    <row r="7" spans="2:62" ht="20.100000000000001" customHeight="1" x14ac:dyDescent="0.15">
      <c r="B7" s="950"/>
      <c r="C7" s="514"/>
      <c r="D7" s="515"/>
      <c r="E7" s="515"/>
      <c r="F7" s="515"/>
      <c r="G7" s="515"/>
      <c r="H7" s="515"/>
      <c r="I7" s="515"/>
      <c r="J7" s="515"/>
      <c r="K7" s="515"/>
      <c r="L7" s="515"/>
      <c r="M7" s="515"/>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5"/>
      <c r="AM7" s="516"/>
      <c r="AO7" s="621"/>
      <c r="AP7" s="621"/>
      <c r="AQ7" s="621"/>
    </row>
    <row r="8" spans="2:62" ht="20.100000000000001" customHeight="1" x14ac:dyDescent="0.15">
      <c r="B8" s="517" t="s">
        <v>578</v>
      </c>
      <c r="C8" s="518"/>
      <c r="D8" s="519"/>
      <c r="E8" s="519"/>
      <c r="F8" s="518"/>
      <c r="G8" s="519"/>
      <c r="H8" s="519"/>
      <c r="I8" s="518"/>
      <c r="J8" s="519">
        <v>0.5</v>
      </c>
      <c r="K8" s="519">
        <v>0.6</v>
      </c>
      <c r="L8" s="518">
        <v>0.6</v>
      </c>
      <c r="M8" s="519">
        <v>0.6</v>
      </c>
      <c r="N8" s="519">
        <v>0.6</v>
      </c>
      <c r="O8" s="518">
        <v>0.3</v>
      </c>
      <c r="P8" s="519"/>
      <c r="Q8" s="519"/>
      <c r="R8" s="518"/>
      <c r="S8" s="519"/>
      <c r="T8" s="519"/>
      <c r="U8" s="518"/>
      <c r="V8" s="519"/>
      <c r="W8" s="519"/>
      <c r="X8" s="518"/>
      <c r="Y8" s="519"/>
      <c r="Z8" s="519"/>
      <c r="AA8" s="518"/>
      <c r="AB8" s="519"/>
      <c r="AC8" s="519"/>
      <c r="AD8" s="518"/>
      <c r="AE8" s="519"/>
      <c r="AF8" s="519"/>
      <c r="AG8" s="518"/>
      <c r="AH8" s="519"/>
      <c r="AI8" s="519"/>
      <c r="AJ8" s="518"/>
      <c r="AK8" s="519"/>
      <c r="AL8" s="519"/>
      <c r="AM8" s="520">
        <f>SUM(C8:AL8)</f>
        <v>3.2</v>
      </c>
      <c r="AO8" s="622"/>
      <c r="AP8" s="622">
        <v>3.2</v>
      </c>
      <c r="AQ8" s="623">
        <f>SUM(AO8:AP8)</f>
        <v>3.2</v>
      </c>
    </row>
    <row r="9" spans="2:62" ht="20.100000000000001" customHeight="1" x14ac:dyDescent="0.15">
      <c r="B9" s="517" t="s">
        <v>579</v>
      </c>
      <c r="C9" s="518"/>
      <c r="D9" s="519"/>
      <c r="E9" s="519"/>
      <c r="F9" s="518"/>
      <c r="G9" s="519"/>
      <c r="H9" s="519"/>
      <c r="I9" s="518"/>
      <c r="J9" s="519"/>
      <c r="K9" s="519">
        <v>1.2</v>
      </c>
      <c r="L9" s="518">
        <v>2.2999999999999998</v>
      </c>
      <c r="M9" s="519">
        <v>2.2999999999999998</v>
      </c>
      <c r="N9" s="519">
        <v>2.2999999999999998</v>
      </c>
      <c r="O9" s="518">
        <v>2.2999999999999998</v>
      </c>
      <c r="P9" s="519">
        <v>2.2999999999999998</v>
      </c>
      <c r="Q9" s="519">
        <v>1.2</v>
      </c>
      <c r="R9" s="518"/>
      <c r="S9" s="519"/>
      <c r="T9" s="519"/>
      <c r="U9" s="518"/>
      <c r="V9" s="519"/>
      <c r="W9" s="519"/>
      <c r="X9" s="518"/>
      <c r="Y9" s="519"/>
      <c r="Z9" s="519"/>
      <c r="AA9" s="518"/>
      <c r="AB9" s="519"/>
      <c r="AC9" s="519"/>
      <c r="AD9" s="518"/>
      <c r="AE9" s="519"/>
      <c r="AF9" s="519"/>
      <c r="AG9" s="518"/>
      <c r="AH9" s="519"/>
      <c r="AI9" s="519"/>
      <c r="AJ9" s="518"/>
      <c r="AK9" s="519"/>
      <c r="AL9" s="519"/>
      <c r="AM9" s="520">
        <f t="shared" ref="AM9:AM33" si="0">SUM(C9:AL9)</f>
        <v>13.899999999999999</v>
      </c>
      <c r="AO9" s="622"/>
      <c r="AP9" s="622">
        <f>6.4+4.3+3.3</f>
        <v>14</v>
      </c>
      <c r="AQ9" s="623">
        <f t="shared" ref="AQ9:AQ19" si="1">SUM(AO9:AP9)</f>
        <v>14</v>
      </c>
    </row>
    <row r="10" spans="2:62" ht="20.100000000000001" customHeight="1" x14ac:dyDescent="0.15">
      <c r="B10" s="517" t="s">
        <v>580</v>
      </c>
      <c r="C10" s="518"/>
      <c r="D10" s="519"/>
      <c r="E10" s="519"/>
      <c r="F10" s="518">
        <v>1.3</v>
      </c>
      <c r="G10" s="519">
        <v>1.4</v>
      </c>
      <c r="H10" s="519">
        <v>1.4</v>
      </c>
      <c r="I10" s="518">
        <v>1.4</v>
      </c>
      <c r="J10" s="519">
        <v>1.4</v>
      </c>
      <c r="K10" s="519">
        <v>1.4</v>
      </c>
      <c r="L10" s="518"/>
      <c r="M10" s="519"/>
      <c r="N10" s="519"/>
      <c r="O10" s="518"/>
      <c r="P10" s="519"/>
      <c r="Q10" s="519"/>
      <c r="R10" s="518"/>
      <c r="S10" s="519"/>
      <c r="T10" s="519"/>
      <c r="U10" s="518"/>
      <c r="V10" s="519"/>
      <c r="W10" s="519"/>
      <c r="X10" s="518"/>
      <c r="Y10" s="519"/>
      <c r="Z10" s="519"/>
      <c r="AA10" s="518"/>
      <c r="AB10" s="519"/>
      <c r="AC10" s="519"/>
      <c r="AD10" s="518"/>
      <c r="AE10" s="519"/>
      <c r="AF10" s="519"/>
      <c r="AG10" s="518"/>
      <c r="AH10" s="519">
        <v>3.2</v>
      </c>
      <c r="AI10" s="519">
        <v>3.2</v>
      </c>
      <c r="AJ10" s="518"/>
      <c r="AK10" s="519"/>
      <c r="AL10" s="519"/>
      <c r="AM10" s="520">
        <f t="shared" si="0"/>
        <v>14.7</v>
      </c>
      <c r="AO10" s="622">
        <f>8.2+6.5</f>
        <v>14.7</v>
      </c>
      <c r="AP10" s="622"/>
      <c r="AQ10" s="623">
        <f t="shared" si="1"/>
        <v>14.7</v>
      </c>
    </row>
    <row r="11" spans="2:62" ht="20.100000000000001" customHeight="1" x14ac:dyDescent="0.15">
      <c r="B11" s="517" t="s">
        <v>581</v>
      </c>
      <c r="C11" s="518"/>
      <c r="D11" s="519"/>
      <c r="E11" s="519"/>
      <c r="F11" s="518"/>
      <c r="G11" s="519"/>
      <c r="H11" s="519"/>
      <c r="I11" s="518"/>
      <c r="J11" s="519"/>
      <c r="K11" s="519"/>
      <c r="L11" s="518">
        <v>0.4</v>
      </c>
      <c r="M11" s="519">
        <v>1</v>
      </c>
      <c r="N11" s="519">
        <v>1</v>
      </c>
      <c r="O11" s="518">
        <v>1</v>
      </c>
      <c r="P11" s="519">
        <v>1</v>
      </c>
      <c r="Q11" s="519">
        <v>0.6</v>
      </c>
      <c r="R11" s="518"/>
      <c r="S11" s="519"/>
      <c r="T11" s="519"/>
      <c r="U11" s="518"/>
      <c r="V11" s="519"/>
      <c r="W11" s="519"/>
      <c r="X11" s="518"/>
      <c r="Y11" s="519"/>
      <c r="Z11" s="519"/>
      <c r="AA11" s="518"/>
      <c r="AB11" s="519"/>
      <c r="AC11" s="519"/>
      <c r="AD11" s="518"/>
      <c r="AE11" s="519"/>
      <c r="AF11" s="519"/>
      <c r="AG11" s="518"/>
      <c r="AH11" s="519"/>
      <c r="AI11" s="519"/>
      <c r="AJ11" s="518"/>
      <c r="AK11" s="519"/>
      <c r="AL11" s="519"/>
      <c r="AM11" s="520">
        <f t="shared" si="0"/>
        <v>5</v>
      </c>
      <c r="AO11" s="622">
        <v>5</v>
      </c>
      <c r="AP11" s="622"/>
      <c r="AQ11" s="623">
        <f t="shared" si="1"/>
        <v>5</v>
      </c>
    </row>
    <row r="12" spans="2:62" ht="20.100000000000001" customHeight="1" x14ac:dyDescent="0.15">
      <c r="B12" s="517" t="s">
        <v>538</v>
      </c>
      <c r="C12" s="518"/>
      <c r="D12" s="519"/>
      <c r="E12" s="519"/>
      <c r="F12" s="518"/>
      <c r="G12" s="519"/>
      <c r="H12" s="519"/>
      <c r="I12" s="518"/>
      <c r="J12" s="519"/>
      <c r="K12" s="519"/>
      <c r="L12" s="518"/>
      <c r="M12" s="519">
        <v>1.8</v>
      </c>
      <c r="N12" s="519">
        <v>3.5</v>
      </c>
      <c r="O12" s="518">
        <v>3.5</v>
      </c>
      <c r="P12" s="519">
        <v>3.5</v>
      </c>
      <c r="Q12" s="519">
        <v>3.5</v>
      </c>
      <c r="R12" s="518">
        <v>1.8</v>
      </c>
      <c r="S12" s="519"/>
      <c r="T12" s="519"/>
      <c r="U12" s="518"/>
      <c r="V12" s="519"/>
      <c r="W12" s="519"/>
      <c r="X12" s="518"/>
      <c r="Y12" s="519"/>
      <c r="Z12" s="519"/>
      <c r="AA12" s="518"/>
      <c r="AB12" s="519"/>
      <c r="AC12" s="519"/>
      <c r="AD12" s="518"/>
      <c r="AE12" s="519"/>
      <c r="AF12" s="519"/>
      <c r="AG12" s="518"/>
      <c r="AH12" s="519"/>
      <c r="AI12" s="519"/>
      <c r="AJ12" s="518"/>
      <c r="AK12" s="519"/>
      <c r="AL12" s="519"/>
      <c r="AM12" s="520">
        <f t="shared" si="0"/>
        <v>17.600000000000001</v>
      </c>
      <c r="AO12" s="622">
        <v>4.4000000000000004</v>
      </c>
      <c r="AP12" s="622">
        <f>4.4+8.8</f>
        <v>13.200000000000001</v>
      </c>
      <c r="AQ12" s="623">
        <f t="shared" si="1"/>
        <v>17.600000000000001</v>
      </c>
    </row>
    <row r="13" spans="2:62" ht="20.100000000000001" customHeight="1" x14ac:dyDescent="0.15">
      <c r="B13" s="517" t="s">
        <v>325</v>
      </c>
      <c r="C13" s="518"/>
      <c r="D13" s="519"/>
      <c r="E13" s="519"/>
      <c r="F13" s="518"/>
      <c r="G13" s="519"/>
      <c r="H13" s="519"/>
      <c r="I13" s="518"/>
      <c r="J13" s="519"/>
      <c r="K13" s="519"/>
      <c r="L13" s="518"/>
      <c r="M13" s="519"/>
      <c r="N13" s="519"/>
      <c r="O13" s="518"/>
      <c r="P13" s="519"/>
      <c r="Q13" s="519"/>
      <c r="R13" s="518"/>
      <c r="S13" s="519"/>
      <c r="T13" s="519"/>
      <c r="U13" s="518"/>
      <c r="V13" s="519"/>
      <c r="W13" s="519"/>
      <c r="X13" s="518"/>
      <c r="Y13" s="519"/>
      <c r="Z13" s="519"/>
      <c r="AA13" s="518"/>
      <c r="AB13" s="519"/>
      <c r="AC13" s="519"/>
      <c r="AD13" s="518"/>
      <c r="AE13" s="519"/>
      <c r="AF13" s="519"/>
      <c r="AG13" s="518"/>
      <c r="AH13" s="519"/>
      <c r="AI13" s="519"/>
      <c r="AJ13" s="518"/>
      <c r="AK13" s="519"/>
      <c r="AL13" s="519"/>
      <c r="AM13" s="520">
        <f t="shared" si="0"/>
        <v>0</v>
      </c>
      <c r="AO13" s="622"/>
      <c r="AP13" s="622"/>
      <c r="AQ13" s="623">
        <f t="shared" si="1"/>
        <v>0</v>
      </c>
    </row>
    <row r="14" spans="2:62" ht="20.100000000000001" customHeight="1" x14ac:dyDescent="0.15">
      <c r="B14" s="517" t="s">
        <v>582</v>
      </c>
      <c r="C14" s="518"/>
      <c r="D14" s="519"/>
      <c r="E14" s="519"/>
      <c r="F14" s="518"/>
      <c r="G14" s="519"/>
      <c r="H14" s="519"/>
      <c r="I14" s="518"/>
      <c r="J14" s="519"/>
      <c r="K14" s="519"/>
      <c r="L14" s="518"/>
      <c r="M14" s="519"/>
      <c r="N14" s="519"/>
      <c r="O14" s="518"/>
      <c r="P14" s="519"/>
      <c r="Q14" s="519"/>
      <c r="R14" s="518"/>
      <c r="S14" s="519"/>
      <c r="T14" s="519"/>
      <c r="U14" s="518"/>
      <c r="V14" s="519"/>
      <c r="W14" s="519"/>
      <c r="X14" s="518"/>
      <c r="Y14" s="519"/>
      <c r="Z14" s="519"/>
      <c r="AA14" s="518"/>
      <c r="AB14" s="519"/>
      <c r="AC14" s="519"/>
      <c r="AD14" s="518"/>
      <c r="AE14" s="519"/>
      <c r="AF14" s="519"/>
      <c r="AG14" s="518"/>
      <c r="AH14" s="519"/>
      <c r="AI14" s="519"/>
      <c r="AJ14" s="518"/>
      <c r="AK14" s="519"/>
      <c r="AL14" s="519"/>
      <c r="AM14" s="520">
        <f t="shared" si="0"/>
        <v>0</v>
      </c>
      <c r="AO14" s="622"/>
      <c r="AP14" s="622"/>
      <c r="AQ14" s="623">
        <f t="shared" si="1"/>
        <v>0</v>
      </c>
    </row>
    <row r="15" spans="2:62" ht="20.100000000000001" customHeight="1" x14ac:dyDescent="0.15">
      <c r="B15" s="517" t="s">
        <v>328</v>
      </c>
      <c r="C15" s="518"/>
      <c r="D15" s="519"/>
      <c r="E15" s="519"/>
      <c r="F15" s="518"/>
      <c r="G15" s="519"/>
      <c r="H15" s="519"/>
      <c r="I15" s="518"/>
      <c r="J15" s="519"/>
      <c r="K15" s="519"/>
      <c r="L15" s="518"/>
      <c r="M15" s="519"/>
      <c r="N15" s="519"/>
      <c r="O15" s="518"/>
      <c r="P15" s="519"/>
      <c r="Q15" s="519"/>
      <c r="R15" s="518"/>
      <c r="S15" s="519"/>
      <c r="T15" s="519"/>
      <c r="U15" s="518"/>
      <c r="V15" s="519">
        <v>1.3</v>
      </c>
      <c r="W15" s="519">
        <v>1.37</v>
      </c>
      <c r="X15" s="518">
        <v>1.37</v>
      </c>
      <c r="Y15" s="519">
        <v>1.37</v>
      </c>
      <c r="Z15" s="519">
        <v>1.37</v>
      </c>
      <c r="AA15" s="518"/>
      <c r="AB15" s="519"/>
      <c r="AC15" s="519"/>
      <c r="AD15" s="518"/>
      <c r="AE15" s="519"/>
      <c r="AF15" s="519"/>
      <c r="AG15" s="518"/>
      <c r="AH15" s="519"/>
      <c r="AI15" s="519"/>
      <c r="AJ15" s="518"/>
      <c r="AK15" s="519"/>
      <c r="AL15" s="519"/>
      <c r="AM15" s="520">
        <f t="shared" si="0"/>
        <v>6.78</v>
      </c>
      <c r="AO15" s="622">
        <v>1.7</v>
      </c>
      <c r="AP15" s="622">
        <v>5.0999999999999996</v>
      </c>
      <c r="AQ15" s="623">
        <f t="shared" si="1"/>
        <v>6.8</v>
      </c>
    </row>
    <row r="16" spans="2:62" ht="20.100000000000001" customHeight="1" x14ac:dyDescent="0.15">
      <c r="B16" s="517" t="s">
        <v>583</v>
      </c>
      <c r="C16" s="518"/>
      <c r="D16" s="519"/>
      <c r="E16" s="519"/>
      <c r="F16" s="518"/>
      <c r="G16" s="519"/>
      <c r="H16" s="519"/>
      <c r="I16" s="518"/>
      <c r="J16" s="519"/>
      <c r="K16" s="519"/>
      <c r="L16" s="518"/>
      <c r="M16" s="519"/>
      <c r="N16" s="519"/>
      <c r="O16" s="518"/>
      <c r="P16" s="519"/>
      <c r="Q16" s="519"/>
      <c r="R16" s="518"/>
      <c r="S16" s="519"/>
      <c r="T16" s="519"/>
      <c r="U16" s="518"/>
      <c r="V16" s="519"/>
      <c r="W16" s="519"/>
      <c r="X16" s="518"/>
      <c r="Y16" s="519"/>
      <c r="Z16" s="519">
        <v>3.2</v>
      </c>
      <c r="AA16" s="518">
        <v>3.5</v>
      </c>
      <c r="AB16" s="519">
        <v>3.5</v>
      </c>
      <c r="AC16" s="519">
        <v>3.5</v>
      </c>
      <c r="AD16" s="518">
        <v>3.5</v>
      </c>
      <c r="AE16" s="519">
        <v>3.5</v>
      </c>
      <c r="AF16" s="519"/>
      <c r="AG16" s="518"/>
      <c r="AH16" s="519"/>
      <c r="AI16" s="519"/>
      <c r="AJ16" s="518"/>
      <c r="AK16" s="519"/>
      <c r="AL16" s="519"/>
      <c r="AM16" s="520">
        <f t="shared" si="0"/>
        <v>20.7</v>
      </c>
      <c r="AO16" s="622">
        <v>6.9</v>
      </c>
      <c r="AP16" s="622">
        <v>13.8</v>
      </c>
      <c r="AQ16" s="623">
        <f t="shared" si="1"/>
        <v>20.700000000000003</v>
      </c>
    </row>
    <row r="17" spans="2:43" ht="20.100000000000001" customHeight="1" x14ac:dyDescent="0.15">
      <c r="B17" s="517" t="s">
        <v>584</v>
      </c>
      <c r="C17" s="518"/>
      <c r="D17" s="519"/>
      <c r="E17" s="519"/>
      <c r="F17" s="518"/>
      <c r="G17" s="519"/>
      <c r="H17" s="519"/>
      <c r="I17" s="518"/>
      <c r="J17" s="519"/>
      <c r="K17" s="519"/>
      <c r="L17" s="518"/>
      <c r="M17" s="519"/>
      <c r="N17" s="519"/>
      <c r="O17" s="518"/>
      <c r="P17" s="519"/>
      <c r="Q17" s="519"/>
      <c r="R17" s="518"/>
      <c r="S17" s="519"/>
      <c r="T17" s="519"/>
      <c r="U17" s="518"/>
      <c r="V17" s="519"/>
      <c r="W17" s="519"/>
      <c r="X17" s="518"/>
      <c r="Y17" s="519"/>
      <c r="Z17" s="519">
        <v>1.5</v>
      </c>
      <c r="AA17" s="518">
        <v>1.6</v>
      </c>
      <c r="AB17" s="519">
        <v>1.6</v>
      </c>
      <c r="AC17" s="519">
        <v>1.6</v>
      </c>
      <c r="AD17" s="518">
        <v>1.6</v>
      </c>
      <c r="AE17" s="519">
        <v>1.6</v>
      </c>
      <c r="AF17" s="519"/>
      <c r="AG17" s="518"/>
      <c r="AH17" s="519"/>
      <c r="AI17" s="519"/>
      <c r="AJ17" s="518"/>
      <c r="AK17" s="519"/>
      <c r="AL17" s="519"/>
      <c r="AM17" s="520">
        <f t="shared" si="0"/>
        <v>9.5</v>
      </c>
      <c r="AO17" s="622"/>
      <c r="AP17" s="622">
        <v>9.5</v>
      </c>
      <c r="AQ17" s="623">
        <f t="shared" si="1"/>
        <v>9.5</v>
      </c>
    </row>
    <row r="18" spans="2:43" ht="20.100000000000001" customHeight="1" x14ac:dyDescent="0.15">
      <c r="B18" s="517" t="s">
        <v>585</v>
      </c>
      <c r="C18" s="518"/>
      <c r="D18" s="519"/>
      <c r="E18" s="519"/>
      <c r="F18" s="518"/>
      <c r="G18" s="519"/>
      <c r="H18" s="519"/>
      <c r="I18" s="518"/>
      <c r="J18" s="519"/>
      <c r="K18" s="519"/>
      <c r="L18" s="518"/>
      <c r="M18" s="519"/>
      <c r="N18" s="519"/>
      <c r="O18" s="518"/>
      <c r="P18" s="519"/>
      <c r="Q18" s="519"/>
      <c r="R18" s="518"/>
      <c r="S18" s="519"/>
      <c r="T18" s="519"/>
      <c r="U18" s="518"/>
      <c r="V18" s="519"/>
      <c r="W18" s="519"/>
      <c r="X18" s="518"/>
      <c r="Y18" s="519"/>
      <c r="Z18" s="519"/>
      <c r="AA18" s="518"/>
      <c r="AB18" s="519"/>
      <c r="AC18" s="519"/>
      <c r="AD18" s="518"/>
      <c r="AE18" s="519"/>
      <c r="AF18" s="519">
        <v>1.2</v>
      </c>
      <c r="AG18" s="518">
        <v>1.2</v>
      </c>
      <c r="AH18" s="519"/>
      <c r="AI18" s="519"/>
      <c r="AJ18" s="518"/>
      <c r="AK18" s="519"/>
      <c r="AL18" s="519"/>
      <c r="AM18" s="520">
        <f t="shared" si="0"/>
        <v>2.4</v>
      </c>
      <c r="AO18" s="622">
        <v>1.2</v>
      </c>
      <c r="AP18" s="622">
        <v>1.2</v>
      </c>
      <c r="AQ18" s="623">
        <f t="shared" si="1"/>
        <v>2.4</v>
      </c>
    </row>
    <row r="19" spans="2:43" ht="20.100000000000001" customHeight="1" x14ac:dyDescent="0.15">
      <c r="B19" s="517" t="s">
        <v>164</v>
      </c>
      <c r="C19" s="518"/>
      <c r="D19" s="519"/>
      <c r="E19" s="519"/>
      <c r="F19" s="518">
        <v>2</v>
      </c>
      <c r="G19" s="519"/>
      <c r="H19" s="519"/>
      <c r="I19" s="518"/>
      <c r="J19" s="519"/>
      <c r="K19" s="519"/>
      <c r="L19" s="518"/>
      <c r="M19" s="519"/>
      <c r="N19" s="519"/>
      <c r="O19" s="518"/>
      <c r="P19" s="519"/>
      <c r="Q19" s="519"/>
      <c r="R19" s="518"/>
      <c r="S19" s="519"/>
      <c r="T19" s="519"/>
      <c r="U19" s="518"/>
      <c r="V19" s="519"/>
      <c r="W19" s="519"/>
      <c r="X19" s="518"/>
      <c r="Y19" s="519"/>
      <c r="Z19" s="519"/>
      <c r="AA19" s="518"/>
      <c r="AB19" s="519"/>
      <c r="AC19" s="519"/>
      <c r="AD19" s="518"/>
      <c r="AE19" s="519"/>
      <c r="AF19" s="519"/>
      <c r="AG19" s="518"/>
      <c r="AH19" s="519"/>
      <c r="AI19" s="519"/>
      <c r="AJ19" s="518"/>
      <c r="AK19" s="519"/>
      <c r="AL19" s="519"/>
      <c r="AM19" s="520">
        <f t="shared" si="0"/>
        <v>2</v>
      </c>
      <c r="AO19" s="622"/>
      <c r="AP19" s="622">
        <v>2</v>
      </c>
      <c r="AQ19" s="623">
        <f t="shared" si="1"/>
        <v>2</v>
      </c>
    </row>
    <row r="20" spans="2:43" ht="20.100000000000001" customHeight="1" x14ac:dyDescent="0.15">
      <c r="B20" s="517"/>
      <c r="C20" s="518"/>
      <c r="D20" s="519"/>
      <c r="E20" s="519"/>
      <c r="F20" s="518"/>
      <c r="G20" s="519"/>
      <c r="H20" s="519"/>
      <c r="I20" s="518"/>
      <c r="J20" s="519"/>
      <c r="K20" s="519"/>
      <c r="L20" s="518"/>
      <c r="M20" s="519"/>
      <c r="N20" s="519"/>
      <c r="O20" s="518"/>
      <c r="P20" s="519"/>
      <c r="Q20" s="519"/>
      <c r="R20" s="518"/>
      <c r="S20" s="519"/>
      <c r="T20" s="519"/>
      <c r="U20" s="518"/>
      <c r="V20" s="519"/>
      <c r="W20" s="519"/>
      <c r="X20" s="518"/>
      <c r="Y20" s="519"/>
      <c r="Z20" s="519"/>
      <c r="AA20" s="518"/>
      <c r="AB20" s="519"/>
      <c r="AC20" s="519"/>
      <c r="AD20" s="518"/>
      <c r="AE20" s="519"/>
      <c r="AF20" s="519"/>
      <c r="AG20" s="518"/>
      <c r="AH20" s="519"/>
      <c r="AI20" s="519"/>
      <c r="AJ20" s="518"/>
      <c r="AK20" s="519"/>
      <c r="AL20" s="519"/>
      <c r="AM20" s="520">
        <f t="shared" si="0"/>
        <v>0</v>
      </c>
      <c r="AO20" s="623"/>
      <c r="AP20" s="623"/>
      <c r="AQ20" s="623">
        <f t="shared" ref="AQ20:AQ33" si="2">SUM(AO20:AP20)</f>
        <v>0</v>
      </c>
    </row>
    <row r="21" spans="2:43" ht="20.100000000000001" customHeight="1" x14ac:dyDescent="0.15">
      <c r="B21" s="517"/>
      <c r="C21" s="518"/>
      <c r="D21" s="519"/>
      <c r="E21" s="519"/>
      <c r="F21" s="518"/>
      <c r="G21" s="519"/>
      <c r="H21" s="519"/>
      <c r="I21" s="518"/>
      <c r="J21" s="519"/>
      <c r="K21" s="519"/>
      <c r="L21" s="518"/>
      <c r="M21" s="519"/>
      <c r="N21" s="519"/>
      <c r="O21" s="518"/>
      <c r="P21" s="519"/>
      <c r="Q21" s="519"/>
      <c r="R21" s="518"/>
      <c r="S21" s="519"/>
      <c r="T21" s="519"/>
      <c r="U21" s="518"/>
      <c r="V21" s="519"/>
      <c r="W21" s="519"/>
      <c r="X21" s="518"/>
      <c r="Y21" s="519"/>
      <c r="Z21" s="519"/>
      <c r="AA21" s="518"/>
      <c r="AB21" s="519"/>
      <c r="AC21" s="519"/>
      <c r="AD21" s="518"/>
      <c r="AE21" s="519"/>
      <c r="AF21" s="519"/>
      <c r="AG21" s="518"/>
      <c r="AH21" s="519"/>
      <c r="AI21" s="519"/>
      <c r="AJ21" s="518"/>
      <c r="AK21" s="519"/>
      <c r="AL21" s="519"/>
      <c r="AM21" s="520">
        <f t="shared" si="0"/>
        <v>0</v>
      </c>
      <c r="AO21" s="623"/>
      <c r="AP21" s="623"/>
      <c r="AQ21" s="623">
        <f t="shared" si="2"/>
        <v>0</v>
      </c>
    </row>
    <row r="22" spans="2:43" ht="20.100000000000001" customHeight="1" x14ac:dyDescent="0.15">
      <c r="B22" s="517"/>
      <c r="C22" s="518"/>
      <c r="D22" s="519"/>
      <c r="E22" s="519"/>
      <c r="F22" s="518"/>
      <c r="G22" s="519"/>
      <c r="H22" s="519"/>
      <c r="I22" s="518"/>
      <c r="J22" s="519"/>
      <c r="K22" s="519"/>
      <c r="L22" s="518"/>
      <c r="M22" s="519"/>
      <c r="N22" s="519"/>
      <c r="O22" s="518"/>
      <c r="P22" s="519"/>
      <c r="Q22" s="519"/>
      <c r="R22" s="518"/>
      <c r="S22" s="519"/>
      <c r="T22" s="519"/>
      <c r="U22" s="518"/>
      <c r="V22" s="519"/>
      <c r="W22" s="519"/>
      <c r="X22" s="518"/>
      <c r="Y22" s="519"/>
      <c r="Z22" s="519"/>
      <c r="AA22" s="518"/>
      <c r="AB22" s="519"/>
      <c r="AC22" s="519"/>
      <c r="AD22" s="518"/>
      <c r="AE22" s="519"/>
      <c r="AF22" s="519"/>
      <c r="AG22" s="518"/>
      <c r="AH22" s="519"/>
      <c r="AI22" s="519"/>
      <c r="AJ22" s="518"/>
      <c r="AK22" s="519"/>
      <c r="AL22" s="519"/>
      <c r="AM22" s="520">
        <f t="shared" si="0"/>
        <v>0</v>
      </c>
      <c r="AO22" s="623"/>
      <c r="AP22" s="623"/>
      <c r="AQ22" s="623">
        <f t="shared" si="2"/>
        <v>0</v>
      </c>
    </row>
    <row r="23" spans="2:43" ht="20.100000000000001" customHeight="1" x14ac:dyDescent="0.15">
      <c r="B23" s="517"/>
      <c r="C23" s="518"/>
      <c r="D23" s="519"/>
      <c r="E23" s="519"/>
      <c r="F23" s="518"/>
      <c r="G23" s="519"/>
      <c r="H23" s="519"/>
      <c r="I23" s="518"/>
      <c r="J23" s="519"/>
      <c r="K23" s="519"/>
      <c r="L23" s="518"/>
      <c r="M23" s="519"/>
      <c r="N23" s="519"/>
      <c r="O23" s="518"/>
      <c r="P23" s="519"/>
      <c r="Q23" s="519"/>
      <c r="R23" s="518"/>
      <c r="S23" s="519"/>
      <c r="T23" s="519"/>
      <c r="U23" s="518"/>
      <c r="V23" s="519"/>
      <c r="W23" s="519"/>
      <c r="X23" s="518"/>
      <c r="Y23" s="519"/>
      <c r="Z23" s="519"/>
      <c r="AA23" s="518"/>
      <c r="AB23" s="519"/>
      <c r="AC23" s="519"/>
      <c r="AD23" s="518"/>
      <c r="AE23" s="519"/>
      <c r="AF23" s="519"/>
      <c r="AG23" s="518"/>
      <c r="AH23" s="519"/>
      <c r="AI23" s="519"/>
      <c r="AJ23" s="518"/>
      <c r="AK23" s="519"/>
      <c r="AL23" s="519"/>
      <c r="AM23" s="520">
        <f t="shared" si="0"/>
        <v>0</v>
      </c>
      <c r="AO23" s="623"/>
      <c r="AP23" s="623"/>
      <c r="AQ23" s="623">
        <f t="shared" si="2"/>
        <v>0</v>
      </c>
    </row>
    <row r="24" spans="2:43" ht="20.100000000000001" customHeight="1" x14ac:dyDescent="0.15">
      <c r="B24" s="517"/>
      <c r="C24" s="518"/>
      <c r="D24" s="519"/>
      <c r="E24" s="519"/>
      <c r="F24" s="518"/>
      <c r="G24" s="519"/>
      <c r="H24" s="519"/>
      <c r="I24" s="518"/>
      <c r="J24" s="519"/>
      <c r="K24" s="519"/>
      <c r="L24" s="518"/>
      <c r="M24" s="519"/>
      <c r="N24" s="519"/>
      <c r="O24" s="518"/>
      <c r="P24" s="519"/>
      <c r="Q24" s="519"/>
      <c r="R24" s="518"/>
      <c r="S24" s="519"/>
      <c r="T24" s="519"/>
      <c r="U24" s="518"/>
      <c r="V24" s="519"/>
      <c r="W24" s="519"/>
      <c r="X24" s="518"/>
      <c r="Y24" s="519"/>
      <c r="Z24" s="519"/>
      <c r="AA24" s="518"/>
      <c r="AB24" s="519"/>
      <c r="AC24" s="519"/>
      <c r="AD24" s="518"/>
      <c r="AE24" s="519"/>
      <c r="AF24" s="519"/>
      <c r="AG24" s="518"/>
      <c r="AH24" s="519"/>
      <c r="AI24" s="519"/>
      <c r="AJ24" s="518"/>
      <c r="AK24" s="519"/>
      <c r="AL24" s="519"/>
      <c r="AM24" s="520">
        <f t="shared" si="0"/>
        <v>0</v>
      </c>
      <c r="AO24" s="623"/>
      <c r="AP24" s="623"/>
      <c r="AQ24" s="623">
        <f t="shared" si="2"/>
        <v>0</v>
      </c>
    </row>
    <row r="25" spans="2:43" ht="20.100000000000001" customHeight="1" x14ac:dyDescent="0.15">
      <c r="B25" s="517"/>
      <c r="C25" s="518"/>
      <c r="D25" s="519"/>
      <c r="E25" s="519"/>
      <c r="F25" s="518"/>
      <c r="G25" s="519"/>
      <c r="H25" s="519"/>
      <c r="I25" s="518"/>
      <c r="J25" s="519"/>
      <c r="K25" s="519"/>
      <c r="L25" s="518"/>
      <c r="M25" s="519"/>
      <c r="N25" s="519"/>
      <c r="O25" s="518"/>
      <c r="P25" s="519"/>
      <c r="Q25" s="519"/>
      <c r="R25" s="518"/>
      <c r="S25" s="519"/>
      <c r="T25" s="519"/>
      <c r="U25" s="518"/>
      <c r="V25" s="519"/>
      <c r="W25" s="519"/>
      <c r="X25" s="518"/>
      <c r="Y25" s="519"/>
      <c r="Z25" s="519"/>
      <c r="AA25" s="518"/>
      <c r="AB25" s="519"/>
      <c r="AC25" s="519"/>
      <c r="AD25" s="518"/>
      <c r="AE25" s="519"/>
      <c r="AF25" s="519"/>
      <c r="AG25" s="518"/>
      <c r="AH25" s="519"/>
      <c r="AI25" s="519"/>
      <c r="AJ25" s="518"/>
      <c r="AK25" s="519"/>
      <c r="AL25" s="519"/>
      <c r="AM25" s="520">
        <f t="shared" si="0"/>
        <v>0</v>
      </c>
      <c r="AO25" s="623"/>
      <c r="AP25" s="623"/>
      <c r="AQ25" s="623">
        <f t="shared" si="2"/>
        <v>0</v>
      </c>
    </row>
    <row r="26" spans="2:43" ht="20.100000000000001" customHeight="1" x14ac:dyDescent="0.15">
      <c r="B26" s="517"/>
      <c r="C26" s="518"/>
      <c r="D26" s="519"/>
      <c r="E26" s="519"/>
      <c r="F26" s="518"/>
      <c r="G26" s="519"/>
      <c r="H26" s="519"/>
      <c r="I26" s="518"/>
      <c r="J26" s="519"/>
      <c r="K26" s="519"/>
      <c r="L26" s="518"/>
      <c r="M26" s="519"/>
      <c r="N26" s="519"/>
      <c r="O26" s="518"/>
      <c r="P26" s="519"/>
      <c r="Q26" s="519"/>
      <c r="R26" s="518"/>
      <c r="S26" s="519"/>
      <c r="T26" s="519"/>
      <c r="U26" s="518"/>
      <c r="V26" s="519"/>
      <c r="W26" s="519"/>
      <c r="X26" s="518"/>
      <c r="Y26" s="519"/>
      <c r="Z26" s="519"/>
      <c r="AA26" s="518"/>
      <c r="AB26" s="519"/>
      <c r="AC26" s="519"/>
      <c r="AD26" s="518"/>
      <c r="AE26" s="519"/>
      <c r="AF26" s="519"/>
      <c r="AG26" s="518"/>
      <c r="AH26" s="519"/>
      <c r="AI26" s="519"/>
      <c r="AJ26" s="518"/>
      <c r="AK26" s="519"/>
      <c r="AL26" s="519"/>
      <c r="AM26" s="520">
        <f t="shared" si="0"/>
        <v>0</v>
      </c>
      <c r="AO26" s="623"/>
      <c r="AP26" s="623"/>
      <c r="AQ26" s="623">
        <f t="shared" si="2"/>
        <v>0</v>
      </c>
    </row>
    <row r="27" spans="2:43" ht="20.100000000000001" customHeight="1" x14ac:dyDescent="0.15">
      <c r="B27" s="517"/>
      <c r="C27" s="518"/>
      <c r="D27" s="519"/>
      <c r="E27" s="519"/>
      <c r="F27" s="518"/>
      <c r="G27" s="519"/>
      <c r="H27" s="519"/>
      <c r="I27" s="518"/>
      <c r="J27" s="519"/>
      <c r="K27" s="519"/>
      <c r="L27" s="518"/>
      <c r="M27" s="519"/>
      <c r="N27" s="519"/>
      <c r="O27" s="518"/>
      <c r="P27" s="519"/>
      <c r="Q27" s="519"/>
      <c r="R27" s="518"/>
      <c r="S27" s="519"/>
      <c r="T27" s="519"/>
      <c r="U27" s="518"/>
      <c r="V27" s="519"/>
      <c r="W27" s="519"/>
      <c r="X27" s="518"/>
      <c r="Y27" s="519"/>
      <c r="Z27" s="519"/>
      <c r="AA27" s="518"/>
      <c r="AB27" s="519"/>
      <c r="AC27" s="519"/>
      <c r="AD27" s="518"/>
      <c r="AE27" s="519"/>
      <c r="AF27" s="519"/>
      <c r="AG27" s="518"/>
      <c r="AH27" s="519"/>
      <c r="AI27" s="519"/>
      <c r="AJ27" s="518"/>
      <c r="AK27" s="519"/>
      <c r="AL27" s="519"/>
      <c r="AM27" s="520">
        <f t="shared" si="0"/>
        <v>0</v>
      </c>
      <c r="AO27" s="623"/>
      <c r="AP27" s="623"/>
      <c r="AQ27" s="623">
        <f t="shared" si="2"/>
        <v>0</v>
      </c>
    </row>
    <row r="28" spans="2:43" ht="20.100000000000001" customHeight="1" x14ac:dyDescent="0.15">
      <c r="B28" s="517"/>
      <c r="C28" s="518"/>
      <c r="D28" s="519"/>
      <c r="E28" s="519"/>
      <c r="F28" s="518"/>
      <c r="G28" s="519"/>
      <c r="H28" s="519"/>
      <c r="I28" s="518"/>
      <c r="J28" s="519"/>
      <c r="K28" s="519"/>
      <c r="L28" s="518"/>
      <c r="M28" s="519"/>
      <c r="N28" s="519"/>
      <c r="O28" s="518"/>
      <c r="P28" s="519"/>
      <c r="Q28" s="519"/>
      <c r="R28" s="518"/>
      <c r="S28" s="519"/>
      <c r="T28" s="519"/>
      <c r="U28" s="518"/>
      <c r="V28" s="519"/>
      <c r="W28" s="519"/>
      <c r="X28" s="518"/>
      <c r="Y28" s="519"/>
      <c r="Z28" s="519"/>
      <c r="AA28" s="518"/>
      <c r="AB28" s="519"/>
      <c r="AC28" s="519"/>
      <c r="AD28" s="518"/>
      <c r="AE28" s="519"/>
      <c r="AF28" s="519"/>
      <c r="AG28" s="518"/>
      <c r="AH28" s="519"/>
      <c r="AI28" s="519"/>
      <c r="AJ28" s="518"/>
      <c r="AK28" s="519"/>
      <c r="AL28" s="519"/>
      <c r="AM28" s="520">
        <f t="shared" si="0"/>
        <v>0</v>
      </c>
      <c r="AO28" s="623"/>
      <c r="AP28" s="623"/>
      <c r="AQ28" s="623">
        <f t="shared" si="2"/>
        <v>0</v>
      </c>
    </row>
    <row r="29" spans="2:43" ht="20.100000000000001" customHeight="1" x14ac:dyDescent="0.15">
      <c r="B29" s="517"/>
      <c r="C29" s="518"/>
      <c r="D29" s="519"/>
      <c r="E29" s="519"/>
      <c r="F29" s="518"/>
      <c r="G29" s="519"/>
      <c r="H29" s="519"/>
      <c r="I29" s="518"/>
      <c r="J29" s="519"/>
      <c r="K29" s="519"/>
      <c r="L29" s="518"/>
      <c r="M29" s="519"/>
      <c r="N29" s="519"/>
      <c r="O29" s="518"/>
      <c r="P29" s="519"/>
      <c r="Q29" s="519"/>
      <c r="R29" s="518"/>
      <c r="S29" s="519"/>
      <c r="T29" s="519"/>
      <c r="U29" s="518"/>
      <c r="V29" s="519"/>
      <c r="W29" s="519"/>
      <c r="X29" s="518"/>
      <c r="Y29" s="519"/>
      <c r="Z29" s="519"/>
      <c r="AA29" s="518"/>
      <c r="AB29" s="519"/>
      <c r="AC29" s="519"/>
      <c r="AD29" s="518"/>
      <c r="AE29" s="519"/>
      <c r="AF29" s="519"/>
      <c r="AG29" s="518"/>
      <c r="AH29" s="519"/>
      <c r="AI29" s="519"/>
      <c r="AJ29" s="518"/>
      <c r="AK29" s="519"/>
      <c r="AL29" s="519"/>
      <c r="AM29" s="520">
        <f t="shared" si="0"/>
        <v>0</v>
      </c>
      <c r="AO29" s="623"/>
      <c r="AP29" s="623"/>
      <c r="AQ29" s="623">
        <f t="shared" si="2"/>
        <v>0</v>
      </c>
    </row>
    <row r="30" spans="2:43" ht="20.100000000000001" customHeight="1" x14ac:dyDescent="0.15">
      <c r="B30" s="517"/>
      <c r="C30" s="518"/>
      <c r="D30" s="519"/>
      <c r="E30" s="519"/>
      <c r="F30" s="518"/>
      <c r="G30" s="519"/>
      <c r="H30" s="519"/>
      <c r="I30" s="518"/>
      <c r="J30" s="519"/>
      <c r="K30" s="519"/>
      <c r="L30" s="518"/>
      <c r="M30" s="519"/>
      <c r="N30" s="519"/>
      <c r="O30" s="518"/>
      <c r="P30" s="519"/>
      <c r="Q30" s="519"/>
      <c r="R30" s="518"/>
      <c r="S30" s="519"/>
      <c r="T30" s="519"/>
      <c r="U30" s="518"/>
      <c r="V30" s="519"/>
      <c r="W30" s="519"/>
      <c r="X30" s="518"/>
      <c r="Y30" s="519"/>
      <c r="Z30" s="519"/>
      <c r="AA30" s="518"/>
      <c r="AB30" s="519"/>
      <c r="AC30" s="519"/>
      <c r="AD30" s="518"/>
      <c r="AE30" s="519"/>
      <c r="AF30" s="519"/>
      <c r="AG30" s="518"/>
      <c r="AH30" s="519"/>
      <c r="AI30" s="519"/>
      <c r="AJ30" s="518"/>
      <c r="AK30" s="519"/>
      <c r="AL30" s="519"/>
      <c r="AM30" s="520">
        <f t="shared" si="0"/>
        <v>0</v>
      </c>
      <c r="AO30" s="623"/>
      <c r="AP30" s="623"/>
      <c r="AQ30" s="623">
        <f t="shared" si="2"/>
        <v>0</v>
      </c>
    </row>
    <row r="31" spans="2:43" ht="20.100000000000001" customHeight="1" x14ac:dyDescent="0.15">
      <c r="B31" s="517"/>
      <c r="C31" s="518"/>
      <c r="D31" s="519"/>
      <c r="E31" s="519"/>
      <c r="F31" s="518"/>
      <c r="G31" s="519"/>
      <c r="H31" s="519"/>
      <c r="I31" s="518"/>
      <c r="J31" s="519"/>
      <c r="K31" s="519"/>
      <c r="L31" s="518"/>
      <c r="M31" s="519"/>
      <c r="N31" s="519"/>
      <c r="O31" s="518"/>
      <c r="P31" s="519"/>
      <c r="Q31" s="519"/>
      <c r="R31" s="518"/>
      <c r="S31" s="519"/>
      <c r="T31" s="519"/>
      <c r="U31" s="518"/>
      <c r="V31" s="519"/>
      <c r="W31" s="519"/>
      <c r="X31" s="518"/>
      <c r="Y31" s="519"/>
      <c r="Z31" s="519"/>
      <c r="AA31" s="518"/>
      <c r="AB31" s="519"/>
      <c r="AC31" s="519"/>
      <c r="AD31" s="518"/>
      <c r="AE31" s="519"/>
      <c r="AF31" s="519"/>
      <c r="AG31" s="518"/>
      <c r="AH31" s="519"/>
      <c r="AI31" s="519"/>
      <c r="AJ31" s="518"/>
      <c r="AK31" s="519"/>
      <c r="AL31" s="519"/>
      <c r="AM31" s="520">
        <f t="shared" si="0"/>
        <v>0</v>
      </c>
      <c r="AO31" s="623"/>
      <c r="AP31" s="623"/>
      <c r="AQ31" s="623">
        <f t="shared" si="2"/>
        <v>0</v>
      </c>
    </row>
    <row r="32" spans="2:43" ht="20.100000000000001" customHeight="1" x14ac:dyDescent="0.15">
      <c r="B32" s="517"/>
      <c r="C32" s="518"/>
      <c r="D32" s="519"/>
      <c r="E32" s="519"/>
      <c r="F32" s="518"/>
      <c r="G32" s="519"/>
      <c r="H32" s="519"/>
      <c r="I32" s="518"/>
      <c r="J32" s="519"/>
      <c r="K32" s="519"/>
      <c r="L32" s="518"/>
      <c r="M32" s="519"/>
      <c r="N32" s="519"/>
      <c r="O32" s="518"/>
      <c r="P32" s="519"/>
      <c r="Q32" s="519"/>
      <c r="R32" s="518"/>
      <c r="S32" s="519"/>
      <c r="T32" s="519"/>
      <c r="U32" s="518"/>
      <c r="V32" s="519"/>
      <c r="W32" s="519"/>
      <c r="X32" s="518"/>
      <c r="Y32" s="519"/>
      <c r="Z32" s="519"/>
      <c r="AA32" s="518"/>
      <c r="AB32" s="519"/>
      <c r="AC32" s="519"/>
      <c r="AD32" s="518"/>
      <c r="AE32" s="519"/>
      <c r="AF32" s="519"/>
      <c r="AG32" s="518"/>
      <c r="AH32" s="519"/>
      <c r="AI32" s="519"/>
      <c r="AJ32" s="518"/>
      <c r="AK32" s="519"/>
      <c r="AL32" s="519"/>
      <c r="AM32" s="520">
        <f t="shared" si="0"/>
        <v>0</v>
      </c>
      <c r="AO32" s="623"/>
      <c r="AP32" s="623"/>
      <c r="AQ32" s="623">
        <f t="shared" si="2"/>
        <v>0</v>
      </c>
    </row>
    <row r="33" spans="2:43" ht="20.100000000000001" customHeight="1" x14ac:dyDescent="0.15">
      <c r="B33" s="522" t="s">
        <v>586</v>
      </c>
      <c r="C33" s="518">
        <f t="shared" ref="C33:AL33" si="3">SUM(C8:C32)</f>
        <v>0</v>
      </c>
      <c r="D33" s="63">
        <f t="shared" si="3"/>
        <v>0</v>
      </c>
      <c r="E33" s="523">
        <f t="shared" si="3"/>
        <v>0</v>
      </c>
      <c r="F33" s="518">
        <f t="shared" si="3"/>
        <v>3.3</v>
      </c>
      <c r="G33" s="63">
        <f t="shared" si="3"/>
        <v>1.4</v>
      </c>
      <c r="H33" s="523">
        <f t="shared" si="3"/>
        <v>1.4</v>
      </c>
      <c r="I33" s="518">
        <f t="shared" si="3"/>
        <v>1.4</v>
      </c>
      <c r="J33" s="63">
        <f t="shared" si="3"/>
        <v>1.9</v>
      </c>
      <c r="K33" s="523">
        <f t="shared" si="3"/>
        <v>3.1999999999999997</v>
      </c>
      <c r="L33" s="518">
        <f t="shared" si="3"/>
        <v>3.3</v>
      </c>
      <c r="M33" s="63">
        <f t="shared" si="3"/>
        <v>5.7</v>
      </c>
      <c r="N33" s="523">
        <f t="shared" si="3"/>
        <v>7.4</v>
      </c>
      <c r="O33" s="518">
        <f t="shared" si="3"/>
        <v>7.1</v>
      </c>
      <c r="P33" s="63">
        <f t="shared" si="3"/>
        <v>6.8</v>
      </c>
      <c r="Q33" s="523">
        <f t="shared" si="3"/>
        <v>5.3</v>
      </c>
      <c r="R33" s="518">
        <f t="shared" si="3"/>
        <v>1.8</v>
      </c>
      <c r="S33" s="63">
        <f t="shared" si="3"/>
        <v>0</v>
      </c>
      <c r="T33" s="523">
        <f t="shared" si="3"/>
        <v>0</v>
      </c>
      <c r="U33" s="518">
        <f t="shared" si="3"/>
        <v>0</v>
      </c>
      <c r="V33" s="63">
        <f t="shared" si="3"/>
        <v>1.3</v>
      </c>
      <c r="W33" s="523">
        <f t="shared" si="3"/>
        <v>1.37</v>
      </c>
      <c r="X33" s="518">
        <f t="shared" si="3"/>
        <v>1.37</v>
      </c>
      <c r="Y33" s="63">
        <f t="shared" si="3"/>
        <v>1.37</v>
      </c>
      <c r="Z33" s="523">
        <f t="shared" si="3"/>
        <v>6.07</v>
      </c>
      <c r="AA33" s="518">
        <f t="shared" si="3"/>
        <v>5.0999999999999996</v>
      </c>
      <c r="AB33" s="63">
        <f t="shared" si="3"/>
        <v>5.0999999999999996</v>
      </c>
      <c r="AC33" s="523">
        <f t="shared" si="3"/>
        <v>5.0999999999999996</v>
      </c>
      <c r="AD33" s="518">
        <f t="shared" si="3"/>
        <v>5.0999999999999996</v>
      </c>
      <c r="AE33" s="63">
        <f t="shared" si="3"/>
        <v>5.0999999999999996</v>
      </c>
      <c r="AF33" s="523">
        <f t="shared" si="3"/>
        <v>1.2</v>
      </c>
      <c r="AG33" s="518">
        <f t="shared" si="3"/>
        <v>1.2</v>
      </c>
      <c r="AH33" s="63">
        <f t="shared" si="3"/>
        <v>3.2</v>
      </c>
      <c r="AI33" s="523">
        <f t="shared" si="3"/>
        <v>3.2</v>
      </c>
      <c r="AJ33" s="518">
        <f t="shared" si="3"/>
        <v>0</v>
      </c>
      <c r="AK33" s="63">
        <f t="shared" si="3"/>
        <v>0</v>
      </c>
      <c r="AL33" s="523">
        <f t="shared" si="3"/>
        <v>0</v>
      </c>
      <c r="AM33" s="520">
        <f t="shared" si="0"/>
        <v>95.779999999999973</v>
      </c>
      <c r="AO33" s="623"/>
      <c r="AP33" s="623"/>
      <c r="AQ33" s="623">
        <f t="shared" si="2"/>
        <v>0</v>
      </c>
    </row>
    <row r="34" spans="2:43" ht="20.100000000000001" customHeight="1" thickBot="1" x14ac:dyDescent="0.2">
      <c r="B34" s="65" t="s">
        <v>587</v>
      </c>
      <c r="C34" s="66"/>
      <c r="D34" s="67">
        <f>SUM(C33:E33)</f>
        <v>0</v>
      </c>
      <c r="E34" s="67"/>
      <c r="F34" s="66"/>
      <c r="G34" s="67">
        <f>SUM(F33:H33)</f>
        <v>6.1</v>
      </c>
      <c r="H34" s="67"/>
      <c r="I34" s="66"/>
      <c r="J34" s="67">
        <f>SUM(I33:K33)</f>
        <v>6.5</v>
      </c>
      <c r="K34" s="67"/>
      <c r="L34" s="66"/>
      <c r="M34" s="67">
        <f>SUM(L33:N33)</f>
        <v>16.399999999999999</v>
      </c>
      <c r="N34" s="67"/>
      <c r="O34" s="66"/>
      <c r="P34" s="67">
        <f>SUM(O33:Q33)</f>
        <v>19.2</v>
      </c>
      <c r="Q34" s="67"/>
      <c r="R34" s="66"/>
      <c r="S34" s="67">
        <f>SUM(R33:T33)</f>
        <v>1.8</v>
      </c>
      <c r="T34" s="67"/>
      <c r="U34" s="66"/>
      <c r="V34" s="67">
        <f>SUM(U33:W33)</f>
        <v>2.67</v>
      </c>
      <c r="W34" s="67"/>
      <c r="X34" s="66"/>
      <c r="Y34" s="67">
        <f>SUM(X33:Z33)</f>
        <v>8.81</v>
      </c>
      <c r="Z34" s="67"/>
      <c r="AA34" s="66"/>
      <c r="AB34" s="67">
        <f>SUM(AA33:AC33)</f>
        <v>15.299999999999999</v>
      </c>
      <c r="AC34" s="67"/>
      <c r="AD34" s="66"/>
      <c r="AE34" s="67">
        <f>SUM(AD33:AF33)</f>
        <v>11.399999999999999</v>
      </c>
      <c r="AF34" s="67"/>
      <c r="AG34" s="66"/>
      <c r="AH34" s="67">
        <f>SUM(AG33:AI33)</f>
        <v>7.6000000000000005</v>
      </c>
      <c r="AI34" s="67"/>
      <c r="AJ34" s="66"/>
      <c r="AK34" s="67">
        <f>SUM(AJ33:AL33)</f>
        <v>0</v>
      </c>
      <c r="AL34" s="67"/>
      <c r="AM34" s="68">
        <f>SUM(AM8:AM32)</f>
        <v>95.78</v>
      </c>
      <c r="AO34" s="623">
        <f>SUM(AO8:AO32)</f>
        <v>33.900000000000006</v>
      </c>
      <c r="AP34" s="623">
        <f t="shared" ref="AP34" si="4">SUM(AP8:AP32)</f>
        <v>62</v>
      </c>
      <c r="AQ34" s="623">
        <f>SUM(AQ8:AQ33)</f>
        <v>95.9</v>
      </c>
    </row>
  </sheetData>
  <mergeCells count="16">
    <mergeCell ref="L2:M2"/>
    <mergeCell ref="AJ3:AL3"/>
    <mergeCell ref="AM3:AM4"/>
    <mergeCell ref="B5:B7"/>
    <mergeCell ref="R3:T3"/>
    <mergeCell ref="U3:W3"/>
    <mergeCell ref="X3:Z3"/>
    <mergeCell ref="AA3:AC3"/>
    <mergeCell ref="AD3:AF3"/>
    <mergeCell ref="AG3:AI3"/>
    <mergeCell ref="B3:B4"/>
    <mergeCell ref="C3:E3"/>
    <mergeCell ref="F3:H3"/>
    <mergeCell ref="I3:K3"/>
    <mergeCell ref="L3:N3"/>
    <mergeCell ref="O3:Q3"/>
  </mergeCells>
  <phoneticPr fontId="4"/>
  <pageMargins left="0.78740157480314965" right="0.78740157480314965" top="0.78740157480314965" bottom="0.78740157480314965" header="0.39370078740157483" footer="0.39370078740157483"/>
  <pageSetup paperSize="9" scale="52"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4"/>
  <sheetViews>
    <sheetView showZeros="0" zoomScale="75" zoomScaleNormal="75" zoomScaleSheetLayoutView="75" workbookViewId="0"/>
  </sheetViews>
  <sheetFormatPr defaultRowHeight="13.5" x14ac:dyDescent="0.15"/>
  <cols>
    <col min="1" max="1" width="1.625" style="43" customWidth="1"/>
    <col min="2" max="2" width="22.625" style="43" customWidth="1"/>
    <col min="3" max="38" width="6.125" style="43" customWidth="1"/>
    <col min="39" max="39" width="7" style="43" customWidth="1"/>
    <col min="40" max="40" width="1.5" style="43" customWidth="1"/>
    <col min="41" max="16384" width="9" style="43"/>
  </cols>
  <sheetData>
    <row r="1" spans="2:62" ht="9.9499999999999993" customHeight="1" x14ac:dyDescent="0.15"/>
    <row r="2" spans="2:62" ht="24.95" customHeight="1" thickBot="1" x14ac:dyDescent="0.2">
      <c r="B2" s="4" t="s">
        <v>331</v>
      </c>
      <c r="C2" s="4"/>
      <c r="D2" s="4"/>
      <c r="E2" s="4"/>
      <c r="F2" s="4"/>
      <c r="G2" s="4"/>
      <c r="H2" s="4"/>
      <c r="I2" s="4"/>
      <c r="J2" s="4"/>
      <c r="K2" s="259" t="s">
        <v>237</v>
      </c>
      <c r="L2" s="258" t="s">
        <v>299</v>
      </c>
      <c r="M2" s="70"/>
      <c r="N2" s="259" t="s">
        <v>238</v>
      </c>
      <c r="O2" s="258" t="s">
        <v>318</v>
      </c>
      <c r="P2" s="4"/>
      <c r="Q2" s="4"/>
      <c r="R2" s="4"/>
      <c r="S2" s="4"/>
      <c r="T2" s="4"/>
      <c r="U2" s="4"/>
      <c r="V2" s="45"/>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20.100000000000001" customHeight="1" x14ac:dyDescent="0.15">
      <c r="B3" s="332" t="s">
        <v>319</v>
      </c>
      <c r="C3" s="952">
        <v>1</v>
      </c>
      <c r="D3" s="953"/>
      <c r="E3" s="954"/>
      <c r="F3" s="952">
        <v>2</v>
      </c>
      <c r="G3" s="953"/>
      <c r="H3" s="954"/>
      <c r="I3" s="952">
        <v>3</v>
      </c>
      <c r="J3" s="953"/>
      <c r="K3" s="954"/>
      <c r="L3" s="952">
        <v>4</v>
      </c>
      <c r="M3" s="953"/>
      <c r="N3" s="954"/>
      <c r="O3" s="952">
        <v>5</v>
      </c>
      <c r="P3" s="953"/>
      <c r="Q3" s="954"/>
      <c r="R3" s="952">
        <v>6</v>
      </c>
      <c r="S3" s="953"/>
      <c r="T3" s="954"/>
      <c r="U3" s="952">
        <v>7</v>
      </c>
      <c r="V3" s="953"/>
      <c r="W3" s="954"/>
      <c r="X3" s="952">
        <v>8</v>
      </c>
      <c r="Y3" s="953"/>
      <c r="Z3" s="954"/>
      <c r="AA3" s="952">
        <v>9</v>
      </c>
      <c r="AB3" s="953"/>
      <c r="AC3" s="954"/>
      <c r="AD3" s="952">
        <v>10</v>
      </c>
      <c r="AE3" s="953"/>
      <c r="AF3" s="954"/>
      <c r="AG3" s="952">
        <v>11</v>
      </c>
      <c r="AH3" s="953"/>
      <c r="AI3" s="954"/>
      <c r="AJ3" s="952">
        <v>12</v>
      </c>
      <c r="AK3" s="953"/>
      <c r="AL3" s="954"/>
      <c r="AM3" s="955" t="s">
        <v>34</v>
      </c>
    </row>
    <row r="4" spans="2:62" ht="20.100000000000001" customHeight="1" x14ac:dyDescent="0.15">
      <c r="B4" s="333"/>
      <c r="C4" s="323" t="s">
        <v>35</v>
      </c>
      <c r="D4" s="54" t="s">
        <v>36</v>
      </c>
      <c r="E4" s="55" t="s">
        <v>37</v>
      </c>
      <c r="F4" s="323" t="s">
        <v>35</v>
      </c>
      <c r="G4" s="55" t="s">
        <v>36</v>
      </c>
      <c r="H4" s="55" t="s">
        <v>37</v>
      </c>
      <c r="I4" s="323" t="s">
        <v>35</v>
      </c>
      <c r="J4" s="55" t="s">
        <v>36</v>
      </c>
      <c r="K4" s="55" t="s">
        <v>37</v>
      </c>
      <c r="L4" s="323" t="s">
        <v>35</v>
      </c>
      <c r="M4" s="55" t="s">
        <v>36</v>
      </c>
      <c r="N4" s="55" t="s">
        <v>37</v>
      </c>
      <c r="O4" s="323" t="s">
        <v>35</v>
      </c>
      <c r="P4" s="55" t="s">
        <v>36</v>
      </c>
      <c r="Q4" s="55" t="s">
        <v>37</v>
      </c>
      <c r="R4" s="323" t="s">
        <v>35</v>
      </c>
      <c r="S4" s="324" t="s">
        <v>36</v>
      </c>
      <c r="T4" s="324" t="s">
        <v>37</v>
      </c>
      <c r="U4" s="323" t="s">
        <v>35</v>
      </c>
      <c r="V4" s="55" t="s">
        <v>36</v>
      </c>
      <c r="W4" s="55" t="s">
        <v>37</v>
      </c>
      <c r="X4" s="323" t="s">
        <v>35</v>
      </c>
      <c r="Y4" s="55" t="s">
        <v>36</v>
      </c>
      <c r="Z4" s="55" t="s">
        <v>37</v>
      </c>
      <c r="AA4" s="323" t="s">
        <v>35</v>
      </c>
      <c r="AB4" s="55" t="s">
        <v>36</v>
      </c>
      <c r="AC4" s="55" t="s">
        <v>37</v>
      </c>
      <c r="AD4" s="323" t="s">
        <v>35</v>
      </c>
      <c r="AE4" s="55" t="s">
        <v>36</v>
      </c>
      <c r="AF4" s="55" t="s">
        <v>37</v>
      </c>
      <c r="AG4" s="323" t="s">
        <v>35</v>
      </c>
      <c r="AH4" s="55" t="s">
        <v>36</v>
      </c>
      <c r="AI4" s="55" t="s">
        <v>37</v>
      </c>
      <c r="AJ4" s="323" t="s">
        <v>35</v>
      </c>
      <c r="AK4" s="55" t="s">
        <v>36</v>
      </c>
      <c r="AL4" s="55" t="s">
        <v>37</v>
      </c>
      <c r="AM4" s="956"/>
    </row>
    <row r="5" spans="2:62" ht="20.100000000000001" customHeight="1" x14ac:dyDescent="0.15">
      <c r="B5" s="334" t="s">
        <v>320</v>
      </c>
      <c r="C5" s="56"/>
      <c r="D5" s="4"/>
      <c r="E5" s="4"/>
      <c r="F5" s="4"/>
      <c r="G5" s="4"/>
      <c r="H5" s="4"/>
      <c r="I5" s="4"/>
      <c r="J5" s="4"/>
      <c r="K5" s="4"/>
      <c r="L5" s="4"/>
      <c r="M5" s="4"/>
      <c r="N5" s="45"/>
      <c r="O5" s="45"/>
      <c r="P5" s="4"/>
      <c r="Q5" s="4"/>
      <c r="R5" s="4"/>
      <c r="S5" s="4"/>
      <c r="T5" s="4"/>
      <c r="U5" s="4"/>
      <c r="V5" s="4"/>
      <c r="W5" s="4"/>
      <c r="X5" s="4"/>
      <c r="Y5" s="4"/>
      <c r="Z5" s="4"/>
      <c r="AA5" s="4"/>
      <c r="AB5" s="4"/>
      <c r="AC5" s="4"/>
      <c r="AD5" s="4"/>
      <c r="AE5" s="4"/>
      <c r="AF5" s="4"/>
      <c r="AG5" s="4"/>
      <c r="AH5" s="4"/>
      <c r="AI5" s="4"/>
      <c r="AJ5" s="4"/>
      <c r="AK5" s="4"/>
      <c r="AL5" s="4"/>
      <c r="AM5" s="325"/>
    </row>
    <row r="6" spans="2:62" ht="20.100000000000001" customHeight="1" x14ac:dyDescent="0.15">
      <c r="B6" s="330"/>
      <c r="C6" s="56"/>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25"/>
    </row>
    <row r="7" spans="2:62" ht="20.100000000000001" customHeight="1" x14ac:dyDescent="0.15">
      <c r="B7" s="333"/>
      <c r="C7" s="326"/>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8"/>
    </row>
    <row r="8" spans="2:62" ht="20.100000000000001" customHeight="1" x14ac:dyDescent="0.15">
      <c r="B8" s="335" t="s">
        <v>281</v>
      </c>
      <c r="C8" s="282"/>
      <c r="D8" s="60">
        <v>83</v>
      </c>
      <c r="E8" s="60"/>
      <c r="F8" s="282"/>
      <c r="G8" s="60"/>
      <c r="H8" s="60"/>
      <c r="I8" s="282"/>
      <c r="J8" s="60"/>
      <c r="K8" s="60"/>
      <c r="L8" s="282"/>
      <c r="M8" s="60"/>
      <c r="N8" s="60"/>
      <c r="O8" s="282"/>
      <c r="P8" s="60"/>
      <c r="Q8" s="60"/>
      <c r="R8" s="282"/>
      <c r="S8" s="60"/>
      <c r="T8" s="60"/>
      <c r="U8" s="282"/>
      <c r="V8" s="60"/>
      <c r="W8" s="60"/>
      <c r="X8" s="282"/>
      <c r="Y8" s="60"/>
      <c r="Z8" s="60"/>
      <c r="AA8" s="282"/>
      <c r="AB8" s="60"/>
      <c r="AC8" s="60"/>
      <c r="AD8" s="282"/>
      <c r="AE8" s="60"/>
      <c r="AF8" s="60"/>
      <c r="AG8" s="282"/>
      <c r="AH8" s="60"/>
      <c r="AI8" s="60"/>
      <c r="AJ8" s="282"/>
      <c r="AK8" s="60"/>
      <c r="AL8" s="60"/>
      <c r="AM8" s="329">
        <f>SUM(C8:AL8)</f>
        <v>83</v>
      </c>
    </row>
    <row r="9" spans="2:62" ht="20.100000000000001" customHeight="1" x14ac:dyDescent="0.15">
      <c r="B9" s="335" t="s">
        <v>321</v>
      </c>
      <c r="C9" s="282"/>
      <c r="D9" s="60">
        <v>37</v>
      </c>
      <c r="E9" s="60"/>
      <c r="F9" s="282"/>
      <c r="G9" s="60"/>
      <c r="H9" s="60"/>
      <c r="I9" s="282"/>
      <c r="J9" s="60"/>
      <c r="K9" s="60"/>
      <c r="L9" s="282"/>
      <c r="M9" s="60"/>
      <c r="N9" s="60"/>
      <c r="O9" s="282"/>
      <c r="P9" s="60"/>
      <c r="Q9" s="60"/>
      <c r="R9" s="282"/>
      <c r="S9" s="60"/>
      <c r="T9" s="60"/>
      <c r="U9" s="282"/>
      <c r="V9" s="60"/>
      <c r="W9" s="60"/>
      <c r="X9" s="282"/>
      <c r="Y9" s="60"/>
      <c r="Z9" s="60"/>
      <c r="AA9" s="282"/>
      <c r="AB9" s="60"/>
      <c r="AC9" s="60"/>
      <c r="AD9" s="282"/>
      <c r="AE9" s="60"/>
      <c r="AF9" s="60"/>
      <c r="AG9" s="282"/>
      <c r="AH9" s="60"/>
      <c r="AI9" s="60"/>
      <c r="AJ9" s="282"/>
      <c r="AK9" s="60"/>
      <c r="AL9" s="60"/>
      <c r="AM9" s="329">
        <f t="shared" ref="AM9:AM11" si="0">SUM(C9:AL9)</f>
        <v>37</v>
      </c>
    </row>
    <row r="10" spans="2:62" ht="20.100000000000001" customHeight="1" x14ac:dyDescent="0.15">
      <c r="B10" s="335" t="s">
        <v>322</v>
      </c>
      <c r="C10" s="282"/>
      <c r="D10" s="60"/>
      <c r="E10" s="60">
        <v>54</v>
      </c>
      <c r="F10" s="282">
        <v>54</v>
      </c>
      <c r="G10" s="60">
        <v>54</v>
      </c>
      <c r="H10" s="60">
        <v>54</v>
      </c>
      <c r="I10" s="282"/>
      <c r="J10" s="60"/>
      <c r="K10" s="60"/>
      <c r="L10" s="282"/>
      <c r="M10" s="60"/>
      <c r="N10" s="60"/>
      <c r="O10" s="282"/>
      <c r="P10" s="60"/>
      <c r="Q10" s="60"/>
      <c r="R10" s="282"/>
      <c r="S10" s="60"/>
      <c r="T10" s="60"/>
      <c r="U10" s="282"/>
      <c r="V10" s="60"/>
      <c r="W10" s="60"/>
      <c r="X10" s="282"/>
      <c r="Y10" s="60"/>
      <c r="Z10" s="60"/>
      <c r="AA10" s="282"/>
      <c r="AB10" s="60"/>
      <c r="AC10" s="60"/>
      <c r="AD10" s="282"/>
      <c r="AE10" s="60"/>
      <c r="AF10" s="60"/>
      <c r="AG10" s="282"/>
      <c r="AH10" s="60"/>
      <c r="AI10" s="60"/>
      <c r="AJ10" s="282"/>
      <c r="AK10" s="60"/>
      <c r="AL10" s="60"/>
      <c r="AM10" s="329">
        <f t="shared" si="0"/>
        <v>216</v>
      </c>
    </row>
    <row r="11" spans="2:62" ht="20.100000000000001" customHeight="1" x14ac:dyDescent="0.15">
      <c r="B11" s="344" t="s">
        <v>323</v>
      </c>
      <c r="C11" s="282"/>
      <c r="D11" s="60"/>
      <c r="E11" s="60"/>
      <c r="F11" s="282"/>
      <c r="G11" s="60">
        <v>20</v>
      </c>
      <c r="H11" s="60"/>
      <c r="I11" s="282">
        <v>20</v>
      </c>
      <c r="J11" s="60"/>
      <c r="K11" s="60"/>
      <c r="L11" s="282"/>
      <c r="M11" s="60"/>
      <c r="N11" s="60"/>
      <c r="O11" s="282"/>
      <c r="P11" s="60"/>
      <c r="Q11" s="60"/>
      <c r="R11" s="282"/>
      <c r="S11" s="60"/>
      <c r="T11" s="60"/>
      <c r="U11" s="282"/>
      <c r="V11" s="60"/>
      <c r="W11" s="60"/>
      <c r="X11" s="282"/>
      <c r="Y11" s="60"/>
      <c r="Z11" s="60"/>
      <c r="AA11" s="282"/>
      <c r="AB11" s="60"/>
      <c r="AC11" s="60"/>
      <c r="AD11" s="282"/>
      <c r="AE11" s="60"/>
      <c r="AF11" s="60"/>
      <c r="AG11" s="282"/>
      <c r="AH11" s="60"/>
      <c r="AI11" s="60"/>
      <c r="AJ11" s="282"/>
      <c r="AK11" s="60"/>
      <c r="AL11" s="60"/>
      <c r="AM11" s="329">
        <f t="shared" si="0"/>
        <v>40</v>
      </c>
    </row>
    <row r="12" spans="2:62" ht="20.100000000000001" customHeight="1" x14ac:dyDescent="0.15">
      <c r="B12" s="330" t="s">
        <v>378</v>
      </c>
      <c r="C12" s="282"/>
      <c r="D12" s="60"/>
      <c r="E12" s="60"/>
      <c r="F12" s="282"/>
      <c r="G12" s="60"/>
      <c r="H12" s="60"/>
      <c r="I12" s="282"/>
      <c r="J12" s="60">
        <v>5</v>
      </c>
      <c r="K12" s="60">
        <v>5</v>
      </c>
      <c r="L12" s="282">
        <v>5</v>
      </c>
      <c r="M12" s="60">
        <v>5</v>
      </c>
      <c r="N12" s="60">
        <v>5</v>
      </c>
      <c r="O12" s="282">
        <v>5</v>
      </c>
      <c r="P12" s="60">
        <v>5</v>
      </c>
      <c r="Q12" s="60"/>
      <c r="R12" s="282"/>
      <c r="S12" s="60"/>
      <c r="T12" s="60"/>
      <c r="U12" s="282"/>
      <c r="V12" s="60"/>
      <c r="W12" s="60"/>
      <c r="X12" s="282"/>
      <c r="Y12" s="60"/>
      <c r="Z12" s="60"/>
      <c r="AA12" s="282"/>
      <c r="AB12" s="60"/>
      <c r="AC12" s="60"/>
      <c r="AD12" s="282"/>
      <c r="AE12" s="60"/>
      <c r="AF12" s="60"/>
      <c r="AG12" s="282"/>
      <c r="AH12" s="60"/>
      <c r="AI12" s="60"/>
      <c r="AJ12" s="282"/>
      <c r="AK12" s="60"/>
      <c r="AL12" s="60"/>
      <c r="AM12" s="329">
        <f t="shared" ref="AM12" si="1">SUM(C12:AL12)</f>
        <v>35</v>
      </c>
    </row>
    <row r="13" spans="2:62" ht="20.100000000000001" customHeight="1" x14ac:dyDescent="0.15">
      <c r="B13" s="335" t="s">
        <v>324</v>
      </c>
      <c r="C13" s="282"/>
      <c r="D13" s="60"/>
      <c r="E13" s="60"/>
      <c r="F13" s="282"/>
      <c r="G13" s="60"/>
      <c r="H13" s="60"/>
      <c r="I13" s="282"/>
      <c r="J13" s="60">
        <v>50</v>
      </c>
      <c r="K13" s="60">
        <v>150</v>
      </c>
      <c r="L13" s="282">
        <v>250</v>
      </c>
      <c r="M13" s="60">
        <v>300</v>
      </c>
      <c r="N13" s="60">
        <v>350</v>
      </c>
      <c r="O13" s="282">
        <v>300</v>
      </c>
      <c r="P13" s="60">
        <v>250</v>
      </c>
      <c r="Q13" s="60">
        <v>150</v>
      </c>
      <c r="R13" s="282">
        <v>150</v>
      </c>
      <c r="S13" s="60">
        <v>150</v>
      </c>
      <c r="T13" s="60">
        <v>200</v>
      </c>
      <c r="U13" s="282">
        <v>300</v>
      </c>
      <c r="V13" s="60">
        <v>350</v>
      </c>
      <c r="W13" s="60">
        <v>350</v>
      </c>
      <c r="X13" s="282">
        <v>350</v>
      </c>
      <c r="Y13" s="60">
        <v>300</v>
      </c>
      <c r="Z13" s="60">
        <v>250</v>
      </c>
      <c r="AA13" s="282">
        <v>250</v>
      </c>
      <c r="AB13" s="60">
        <v>200</v>
      </c>
      <c r="AC13" s="60">
        <v>150</v>
      </c>
      <c r="AD13" s="282">
        <v>150</v>
      </c>
      <c r="AE13" s="60">
        <v>50</v>
      </c>
      <c r="AF13" s="60"/>
      <c r="AG13" s="282"/>
      <c r="AH13" s="60"/>
      <c r="AI13" s="60"/>
      <c r="AJ13" s="282"/>
      <c r="AK13" s="60"/>
      <c r="AL13" s="60"/>
      <c r="AM13" s="329">
        <f t="shared" ref="AM13:AM18" si="2">SUM(C13:AL13)</f>
        <v>5000</v>
      </c>
    </row>
    <row r="14" spans="2:62" ht="20.100000000000001" customHeight="1" x14ac:dyDescent="0.15">
      <c r="B14" s="331" t="s">
        <v>326</v>
      </c>
      <c r="C14" s="282"/>
      <c r="D14" s="60"/>
      <c r="E14" s="60"/>
      <c r="F14" s="282"/>
      <c r="G14" s="60"/>
      <c r="H14" s="60"/>
      <c r="I14" s="282"/>
      <c r="J14" s="60"/>
      <c r="K14" s="60"/>
      <c r="L14" s="282"/>
      <c r="M14" s="60"/>
      <c r="N14" s="60"/>
      <c r="O14" s="282"/>
      <c r="P14" s="60"/>
      <c r="Q14" s="60">
        <v>30</v>
      </c>
      <c r="R14" s="282">
        <v>30</v>
      </c>
      <c r="S14" s="60">
        <v>30</v>
      </c>
      <c r="T14" s="60"/>
      <c r="U14" s="282"/>
      <c r="V14" s="60"/>
      <c r="W14" s="60"/>
      <c r="X14" s="282"/>
      <c r="Y14" s="60"/>
      <c r="Z14" s="60"/>
      <c r="AA14" s="282"/>
      <c r="AB14" s="60"/>
      <c r="AC14" s="60"/>
      <c r="AD14" s="282"/>
      <c r="AE14" s="60"/>
      <c r="AF14" s="60"/>
      <c r="AG14" s="282"/>
      <c r="AH14" s="60"/>
      <c r="AI14" s="60"/>
      <c r="AJ14" s="282"/>
      <c r="AK14" s="60"/>
      <c r="AL14" s="60"/>
      <c r="AM14" s="329">
        <f t="shared" si="2"/>
        <v>90</v>
      </c>
    </row>
    <row r="15" spans="2:62" ht="20.100000000000001" customHeight="1" x14ac:dyDescent="0.15">
      <c r="B15" s="331" t="s">
        <v>327</v>
      </c>
      <c r="C15" s="282"/>
      <c r="D15" s="60"/>
      <c r="E15" s="60"/>
      <c r="F15" s="282"/>
      <c r="G15" s="60">
        <v>5</v>
      </c>
      <c r="H15" s="60"/>
      <c r="I15" s="282"/>
      <c r="J15" s="60">
        <v>5</v>
      </c>
      <c r="K15" s="60">
        <v>5</v>
      </c>
      <c r="L15" s="282">
        <v>5</v>
      </c>
      <c r="M15" s="60">
        <v>5</v>
      </c>
      <c r="N15" s="60">
        <v>5</v>
      </c>
      <c r="O15" s="282">
        <v>5</v>
      </c>
      <c r="P15" s="60">
        <v>5</v>
      </c>
      <c r="Q15" s="60">
        <v>5</v>
      </c>
      <c r="R15" s="282">
        <v>5</v>
      </c>
      <c r="S15" s="60">
        <v>5</v>
      </c>
      <c r="T15" s="60">
        <v>5</v>
      </c>
      <c r="U15" s="282">
        <v>5</v>
      </c>
      <c r="V15" s="60">
        <v>5</v>
      </c>
      <c r="W15" s="60">
        <v>10</v>
      </c>
      <c r="X15" s="282">
        <v>10</v>
      </c>
      <c r="Y15" s="60">
        <v>10</v>
      </c>
      <c r="Z15" s="60">
        <v>10</v>
      </c>
      <c r="AA15" s="282">
        <v>10</v>
      </c>
      <c r="AB15" s="60">
        <v>10</v>
      </c>
      <c r="AC15" s="60">
        <v>10</v>
      </c>
      <c r="AD15" s="282">
        <v>5</v>
      </c>
      <c r="AE15" s="60">
        <v>5</v>
      </c>
      <c r="AF15" s="60"/>
      <c r="AG15" s="282">
        <v>5</v>
      </c>
      <c r="AH15" s="60"/>
      <c r="AI15" s="60">
        <v>5</v>
      </c>
      <c r="AJ15" s="282"/>
      <c r="AK15" s="60"/>
      <c r="AL15" s="60"/>
      <c r="AM15" s="329">
        <f t="shared" si="2"/>
        <v>160</v>
      </c>
    </row>
    <row r="16" spans="2:62" ht="20.100000000000001" customHeight="1" x14ac:dyDescent="0.15">
      <c r="B16" s="331" t="s">
        <v>328</v>
      </c>
      <c r="C16" s="282"/>
      <c r="D16" s="60"/>
      <c r="E16" s="60"/>
      <c r="F16" s="282"/>
      <c r="G16" s="60"/>
      <c r="H16" s="60"/>
      <c r="I16" s="282"/>
      <c r="J16" s="60"/>
      <c r="K16" s="60"/>
      <c r="L16" s="282"/>
      <c r="M16" s="60"/>
      <c r="N16" s="60"/>
      <c r="O16" s="282"/>
      <c r="P16" s="60">
        <v>7</v>
      </c>
      <c r="Q16" s="60">
        <v>7</v>
      </c>
      <c r="R16" s="282">
        <v>7</v>
      </c>
      <c r="S16" s="60"/>
      <c r="T16" s="60">
        <v>7</v>
      </c>
      <c r="U16" s="282">
        <v>7</v>
      </c>
      <c r="V16" s="60"/>
      <c r="W16" s="60">
        <v>7</v>
      </c>
      <c r="X16" s="282">
        <v>7</v>
      </c>
      <c r="Y16" s="60"/>
      <c r="Z16" s="60">
        <v>7</v>
      </c>
      <c r="AA16" s="282"/>
      <c r="AB16" s="60">
        <v>7</v>
      </c>
      <c r="AC16" s="60"/>
      <c r="AD16" s="282"/>
      <c r="AE16" s="60"/>
      <c r="AF16" s="60">
        <v>7</v>
      </c>
      <c r="AG16" s="282"/>
      <c r="AH16" s="60"/>
      <c r="AI16" s="60"/>
      <c r="AJ16" s="282"/>
      <c r="AK16" s="60"/>
      <c r="AL16" s="60"/>
      <c r="AM16" s="329">
        <f t="shared" si="2"/>
        <v>70</v>
      </c>
    </row>
    <row r="17" spans="2:39" ht="20.100000000000001" customHeight="1" x14ac:dyDescent="0.15">
      <c r="B17" s="331" t="s">
        <v>329</v>
      </c>
      <c r="C17" s="282"/>
      <c r="D17" s="60"/>
      <c r="E17" s="60"/>
      <c r="F17" s="282"/>
      <c r="G17" s="60"/>
      <c r="H17" s="60"/>
      <c r="I17" s="282"/>
      <c r="J17" s="60"/>
      <c r="K17" s="60"/>
      <c r="L17" s="282"/>
      <c r="M17" s="60"/>
      <c r="N17" s="60"/>
      <c r="O17" s="282"/>
      <c r="P17" s="60"/>
      <c r="Q17" s="60"/>
      <c r="R17" s="282"/>
      <c r="S17" s="60"/>
      <c r="T17" s="60"/>
      <c r="U17" s="282"/>
      <c r="V17" s="60"/>
      <c r="W17" s="60"/>
      <c r="X17" s="282"/>
      <c r="Y17" s="60"/>
      <c r="Z17" s="60"/>
      <c r="AA17" s="282"/>
      <c r="AB17" s="60"/>
      <c r="AC17" s="60"/>
      <c r="AD17" s="282"/>
      <c r="AE17" s="60"/>
      <c r="AF17" s="60"/>
      <c r="AG17" s="282"/>
      <c r="AH17" s="60"/>
      <c r="AI17" s="60"/>
      <c r="AJ17" s="282">
        <v>40</v>
      </c>
      <c r="AK17" s="60">
        <v>45</v>
      </c>
      <c r="AL17" s="60"/>
      <c r="AM17" s="329">
        <f t="shared" si="2"/>
        <v>85</v>
      </c>
    </row>
    <row r="18" spans="2:39" ht="20.100000000000001" customHeight="1" x14ac:dyDescent="0.15">
      <c r="B18" s="335" t="s">
        <v>330</v>
      </c>
      <c r="C18" s="282"/>
      <c r="D18" s="60"/>
      <c r="E18" s="60"/>
      <c r="F18" s="282"/>
      <c r="G18" s="60"/>
      <c r="H18" s="60"/>
      <c r="I18" s="282"/>
      <c r="J18" s="60"/>
      <c r="K18" s="60"/>
      <c r="L18" s="282"/>
      <c r="M18" s="60"/>
      <c r="N18" s="60"/>
      <c r="O18" s="282"/>
      <c r="P18" s="60"/>
      <c r="Q18" s="60"/>
      <c r="R18" s="282"/>
      <c r="S18" s="60"/>
      <c r="T18" s="60"/>
      <c r="U18" s="282"/>
      <c r="V18" s="60"/>
      <c r="W18" s="60"/>
      <c r="X18" s="282"/>
      <c r="Y18" s="60"/>
      <c r="Z18" s="60"/>
      <c r="AA18" s="282"/>
      <c r="AB18" s="60"/>
      <c r="AC18" s="60"/>
      <c r="AD18" s="282"/>
      <c r="AE18" s="60"/>
      <c r="AF18" s="60"/>
      <c r="AG18" s="282"/>
      <c r="AH18" s="60"/>
      <c r="AI18" s="60"/>
      <c r="AJ18" s="282"/>
      <c r="AK18" s="60"/>
      <c r="AL18" s="60">
        <v>85</v>
      </c>
      <c r="AM18" s="329">
        <f t="shared" si="2"/>
        <v>85</v>
      </c>
    </row>
    <row r="19" spans="2:39" ht="20.100000000000001" customHeight="1" x14ac:dyDescent="0.15">
      <c r="B19" s="58"/>
      <c r="C19" s="59"/>
      <c r="D19" s="60"/>
      <c r="E19" s="60"/>
      <c r="F19" s="59"/>
      <c r="G19" s="60"/>
      <c r="H19" s="60"/>
      <c r="I19" s="59"/>
      <c r="J19" s="60"/>
      <c r="K19" s="60"/>
      <c r="L19" s="59"/>
      <c r="M19" s="60"/>
      <c r="N19" s="60"/>
      <c r="O19" s="59"/>
      <c r="P19" s="60"/>
      <c r="Q19" s="60"/>
      <c r="R19" s="59"/>
      <c r="S19" s="60"/>
      <c r="T19" s="60"/>
      <c r="U19" s="59"/>
      <c r="V19" s="60"/>
      <c r="W19" s="60"/>
      <c r="X19" s="59"/>
      <c r="Y19" s="60"/>
      <c r="Z19" s="60"/>
      <c r="AA19" s="59"/>
      <c r="AB19" s="60"/>
      <c r="AC19" s="60"/>
      <c r="AD19" s="59"/>
      <c r="AE19" s="60"/>
      <c r="AF19" s="60"/>
      <c r="AG19" s="59"/>
      <c r="AH19" s="60"/>
      <c r="AI19" s="60"/>
      <c r="AJ19" s="59"/>
      <c r="AK19" s="60"/>
      <c r="AL19" s="60"/>
      <c r="AM19" s="61">
        <f t="shared" ref="AM19:AM33" si="3">SUM(C19:AL19)</f>
        <v>0</v>
      </c>
    </row>
    <row r="20" spans="2:39" ht="20.100000000000001" customHeight="1" x14ac:dyDescent="0.15">
      <c r="B20" s="58"/>
      <c r="C20" s="59"/>
      <c r="D20" s="60"/>
      <c r="E20" s="60"/>
      <c r="F20" s="59"/>
      <c r="G20" s="60"/>
      <c r="H20" s="60"/>
      <c r="I20" s="59"/>
      <c r="J20" s="60"/>
      <c r="K20" s="60"/>
      <c r="L20" s="59"/>
      <c r="M20" s="60"/>
      <c r="N20" s="60"/>
      <c r="O20" s="59"/>
      <c r="P20" s="60"/>
      <c r="Q20" s="60"/>
      <c r="R20" s="59"/>
      <c r="S20" s="60"/>
      <c r="T20" s="60"/>
      <c r="U20" s="59"/>
      <c r="V20" s="60"/>
      <c r="W20" s="60"/>
      <c r="X20" s="59"/>
      <c r="Y20" s="60"/>
      <c r="Z20" s="60"/>
      <c r="AA20" s="59"/>
      <c r="AB20" s="60"/>
      <c r="AC20" s="60"/>
      <c r="AD20" s="59"/>
      <c r="AE20" s="60"/>
      <c r="AF20" s="60"/>
      <c r="AG20" s="59"/>
      <c r="AH20" s="60"/>
      <c r="AI20" s="60"/>
      <c r="AJ20" s="59"/>
      <c r="AK20" s="60"/>
      <c r="AL20" s="60"/>
      <c r="AM20" s="61">
        <f t="shared" si="3"/>
        <v>0</v>
      </c>
    </row>
    <row r="21" spans="2:39" ht="20.100000000000001" customHeight="1" x14ac:dyDescent="0.15">
      <c r="B21" s="58"/>
      <c r="C21" s="59"/>
      <c r="D21" s="60"/>
      <c r="E21" s="60"/>
      <c r="F21" s="59"/>
      <c r="G21" s="60"/>
      <c r="H21" s="60"/>
      <c r="I21" s="59"/>
      <c r="J21" s="60"/>
      <c r="K21" s="60"/>
      <c r="L21" s="59"/>
      <c r="M21" s="60"/>
      <c r="N21" s="60"/>
      <c r="O21" s="59"/>
      <c r="P21" s="60"/>
      <c r="Q21" s="60"/>
      <c r="R21" s="59"/>
      <c r="S21" s="60"/>
      <c r="T21" s="60"/>
      <c r="U21" s="59"/>
      <c r="V21" s="60"/>
      <c r="W21" s="60"/>
      <c r="X21" s="59"/>
      <c r="Y21" s="60"/>
      <c r="Z21" s="60"/>
      <c r="AA21" s="59"/>
      <c r="AB21" s="60"/>
      <c r="AC21" s="60"/>
      <c r="AD21" s="59"/>
      <c r="AE21" s="60"/>
      <c r="AF21" s="60"/>
      <c r="AG21" s="59"/>
      <c r="AH21" s="60"/>
      <c r="AI21" s="60"/>
      <c r="AJ21" s="59"/>
      <c r="AK21" s="60"/>
      <c r="AL21" s="60"/>
      <c r="AM21" s="61">
        <f t="shared" si="3"/>
        <v>0</v>
      </c>
    </row>
    <row r="22" spans="2:39" ht="20.100000000000001" customHeight="1" x14ac:dyDescent="0.15">
      <c r="B22" s="58"/>
      <c r="C22" s="59"/>
      <c r="D22" s="60"/>
      <c r="E22" s="60"/>
      <c r="F22" s="59"/>
      <c r="G22" s="60"/>
      <c r="H22" s="60"/>
      <c r="I22" s="59"/>
      <c r="J22" s="60"/>
      <c r="K22" s="60"/>
      <c r="L22" s="59"/>
      <c r="M22" s="60"/>
      <c r="N22" s="60"/>
      <c r="O22" s="59"/>
      <c r="P22" s="60"/>
      <c r="Q22" s="60"/>
      <c r="R22" s="59"/>
      <c r="S22" s="60"/>
      <c r="T22" s="60"/>
      <c r="U22" s="59"/>
      <c r="V22" s="60"/>
      <c r="W22" s="60"/>
      <c r="X22" s="59"/>
      <c r="Y22" s="60"/>
      <c r="Z22" s="60"/>
      <c r="AA22" s="59"/>
      <c r="AB22" s="60"/>
      <c r="AC22" s="60"/>
      <c r="AD22" s="59"/>
      <c r="AE22" s="60"/>
      <c r="AF22" s="60"/>
      <c r="AG22" s="59"/>
      <c r="AH22" s="60"/>
      <c r="AI22" s="60"/>
      <c r="AJ22" s="59"/>
      <c r="AK22" s="60"/>
      <c r="AL22" s="60"/>
      <c r="AM22" s="61">
        <f t="shared" si="3"/>
        <v>0</v>
      </c>
    </row>
    <row r="23" spans="2:39" ht="20.100000000000001" customHeight="1" x14ac:dyDescent="0.15">
      <c r="B23" s="58"/>
      <c r="C23" s="59"/>
      <c r="D23" s="60"/>
      <c r="E23" s="60"/>
      <c r="F23" s="59"/>
      <c r="G23" s="60"/>
      <c r="H23" s="60"/>
      <c r="I23" s="59"/>
      <c r="J23" s="60"/>
      <c r="K23" s="60"/>
      <c r="L23" s="59"/>
      <c r="M23" s="60"/>
      <c r="N23" s="60"/>
      <c r="O23" s="59"/>
      <c r="P23" s="60"/>
      <c r="Q23" s="60"/>
      <c r="R23" s="59"/>
      <c r="S23" s="60"/>
      <c r="T23" s="60"/>
      <c r="U23" s="59"/>
      <c r="V23" s="60"/>
      <c r="W23" s="60"/>
      <c r="X23" s="59"/>
      <c r="Y23" s="60"/>
      <c r="Z23" s="60"/>
      <c r="AA23" s="59"/>
      <c r="AB23" s="60"/>
      <c r="AC23" s="60"/>
      <c r="AD23" s="59"/>
      <c r="AE23" s="60"/>
      <c r="AF23" s="60"/>
      <c r="AG23" s="59"/>
      <c r="AH23" s="60"/>
      <c r="AI23" s="60"/>
      <c r="AJ23" s="59"/>
      <c r="AK23" s="60"/>
      <c r="AL23" s="60"/>
      <c r="AM23" s="61">
        <f t="shared" si="3"/>
        <v>0</v>
      </c>
    </row>
    <row r="24" spans="2:39" ht="20.100000000000001" customHeight="1" x14ac:dyDescent="0.15">
      <c r="B24" s="58"/>
      <c r="C24" s="59"/>
      <c r="D24" s="60"/>
      <c r="E24" s="60"/>
      <c r="F24" s="59"/>
      <c r="G24" s="60"/>
      <c r="H24" s="60"/>
      <c r="I24" s="59"/>
      <c r="J24" s="60"/>
      <c r="K24" s="60"/>
      <c r="L24" s="59"/>
      <c r="M24" s="60"/>
      <c r="N24" s="60"/>
      <c r="O24" s="59"/>
      <c r="P24" s="60"/>
      <c r="Q24" s="60"/>
      <c r="R24" s="59"/>
      <c r="S24" s="60"/>
      <c r="T24" s="60"/>
      <c r="U24" s="59"/>
      <c r="V24" s="60"/>
      <c r="W24" s="60"/>
      <c r="X24" s="59"/>
      <c r="Y24" s="60"/>
      <c r="Z24" s="60"/>
      <c r="AA24" s="59"/>
      <c r="AB24" s="60"/>
      <c r="AC24" s="60"/>
      <c r="AD24" s="59"/>
      <c r="AE24" s="60"/>
      <c r="AF24" s="60"/>
      <c r="AG24" s="59"/>
      <c r="AH24" s="60"/>
      <c r="AI24" s="60"/>
      <c r="AJ24" s="59"/>
      <c r="AK24" s="60"/>
      <c r="AL24" s="60"/>
      <c r="AM24" s="61">
        <f t="shared" si="3"/>
        <v>0</v>
      </c>
    </row>
    <row r="25" spans="2:39" ht="20.100000000000001" customHeight="1" x14ac:dyDescent="0.15">
      <c r="B25" s="58"/>
      <c r="C25" s="59"/>
      <c r="D25" s="60"/>
      <c r="E25" s="60"/>
      <c r="F25" s="59"/>
      <c r="G25" s="60"/>
      <c r="H25" s="60"/>
      <c r="I25" s="59"/>
      <c r="J25" s="60"/>
      <c r="K25" s="60"/>
      <c r="L25" s="59"/>
      <c r="M25" s="60"/>
      <c r="N25" s="60"/>
      <c r="O25" s="59"/>
      <c r="P25" s="60"/>
      <c r="Q25" s="60"/>
      <c r="R25" s="59"/>
      <c r="S25" s="60"/>
      <c r="T25" s="60"/>
      <c r="U25" s="59"/>
      <c r="V25" s="60"/>
      <c r="W25" s="60"/>
      <c r="X25" s="59"/>
      <c r="Y25" s="60"/>
      <c r="Z25" s="60"/>
      <c r="AA25" s="59"/>
      <c r="AB25" s="60"/>
      <c r="AC25" s="60"/>
      <c r="AD25" s="59"/>
      <c r="AE25" s="60"/>
      <c r="AF25" s="60"/>
      <c r="AG25" s="59"/>
      <c r="AH25" s="60"/>
      <c r="AI25" s="60"/>
      <c r="AJ25" s="59"/>
      <c r="AK25" s="60"/>
      <c r="AL25" s="60"/>
      <c r="AM25" s="61">
        <f t="shared" si="3"/>
        <v>0</v>
      </c>
    </row>
    <row r="26" spans="2:39" ht="20.100000000000001" customHeight="1" x14ac:dyDescent="0.15">
      <c r="B26" s="58"/>
      <c r="C26" s="59"/>
      <c r="D26" s="60"/>
      <c r="E26" s="60"/>
      <c r="F26" s="59"/>
      <c r="G26" s="60"/>
      <c r="H26" s="60"/>
      <c r="I26" s="59"/>
      <c r="J26" s="60"/>
      <c r="K26" s="60"/>
      <c r="L26" s="59"/>
      <c r="M26" s="60"/>
      <c r="N26" s="60"/>
      <c r="O26" s="59"/>
      <c r="P26" s="60"/>
      <c r="Q26" s="60"/>
      <c r="R26" s="59"/>
      <c r="S26" s="60"/>
      <c r="T26" s="60"/>
      <c r="U26" s="59"/>
      <c r="V26" s="60"/>
      <c r="W26" s="60"/>
      <c r="X26" s="59"/>
      <c r="Y26" s="60"/>
      <c r="Z26" s="60"/>
      <c r="AA26" s="59"/>
      <c r="AB26" s="60"/>
      <c r="AC26" s="60"/>
      <c r="AD26" s="59"/>
      <c r="AE26" s="60"/>
      <c r="AF26" s="60"/>
      <c r="AG26" s="59"/>
      <c r="AH26" s="60"/>
      <c r="AI26" s="60"/>
      <c r="AJ26" s="59"/>
      <c r="AK26" s="60"/>
      <c r="AL26" s="60"/>
      <c r="AM26" s="61">
        <f t="shared" si="3"/>
        <v>0</v>
      </c>
    </row>
    <row r="27" spans="2:39" ht="20.100000000000001" customHeight="1" x14ac:dyDescent="0.15">
      <c r="B27" s="58"/>
      <c r="C27" s="59"/>
      <c r="D27" s="60"/>
      <c r="E27" s="60"/>
      <c r="F27" s="59"/>
      <c r="G27" s="60"/>
      <c r="H27" s="60"/>
      <c r="I27" s="59"/>
      <c r="J27" s="60"/>
      <c r="K27" s="60"/>
      <c r="L27" s="59"/>
      <c r="M27" s="60"/>
      <c r="N27" s="60"/>
      <c r="O27" s="59"/>
      <c r="P27" s="60"/>
      <c r="Q27" s="60"/>
      <c r="R27" s="59"/>
      <c r="S27" s="60"/>
      <c r="T27" s="60"/>
      <c r="U27" s="59"/>
      <c r="V27" s="60"/>
      <c r="W27" s="60"/>
      <c r="X27" s="59"/>
      <c r="Y27" s="60"/>
      <c r="Z27" s="60"/>
      <c r="AA27" s="59"/>
      <c r="AB27" s="60"/>
      <c r="AC27" s="60"/>
      <c r="AD27" s="59"/>
      <c r="AE27" s="60"/>
      <c r="AF27" s="60"/>
      <c r="AG27" s="59"/>
      <c r="AH27" s="60"/>
      <c r="AI27" s="60"/>
      <c r="AJ27" s="59"/>
      <c r="AK27" s="60"/>
      <c r="AL27" s="60"/>
      <c r="AM27" s="61">
        <f t="shared" si="3"/>
        <v>0</v>
      </c>
    </row>
    <row r="28" spans="2:39" ht="20.100000000000001" customHeight="1" x14ac:dyDescent="0.15">
      <c r="B28" s="58"/>
      <c r="C28" s="59"/>
      <c r="D28" s="60"/>
      <c r="E28" s="60"/>
      <c r="F28" s="59"/>
      <c r="G28" s="60"/>
      <c r="H28" s="60"/>
      <c r="I28" s="59"/>
      <c r="J28" s="60"/>
      <c r="K28" s="60"/>
      <c r="L28" s="59"/>
      <c r="M28" s="60"/>
      <c r="N28" s="60"/>
      <c r="O28" s="59"/>
      <c r="P28" s="60"/>
      <c r="Q28" s="60"/>
      <c r="R28" s="59"/>
      <c r="S28" s="60"/>
      <c r="T28" s="60"/>
      <c r="U28" s="59"/>
      <c r="V28" s="60"/>
      <c r="W28" s="60"/>
      <c r="X28" s="59"/>
      <c r="Y28" s="60"/>
      <c r="Z28" s="60"/>
      <c r="AA28" s="59"/>
      <c r="AB28" s="60"/>
      <c r="AC28" s="60"/>
      <c r="AD28" s="59"/>
      <c r="AE28" s="60"/>
      <c r="AF28" s="60"/>
      <c r="AG28" s="59"/>
      <c r="AH28" s="60"/>
      <c r="AI28" s="60"/>
      <c r="AJ28" s="59"/>
      <c r="AK28" s="60"/>
      <c r="AL28" s="60"/>
      <c r="AM28" s="61">
        <f t="shared" si="3"/>
        <v>0</v>
      </c>
    </row>
    <row r="29" spans="2:39" ht="20.100000000000001" customHeight="1" x14ac:dyDescent="0.15">
      <c r="B29" s="58"/>
      <c r="C29" s="59"/>
      <c r="D29" s="60"/>
      <c r="E29" s="60"/>
      <c r="F29" s="59"/>
      <c r="G29" s="60"/>
      <c r="H29" s="60"/>
      <c r="I29" s="59"/>
      <c r="J29" s="60"/>
      <c r="K29" s="60"/>
      <c r="L29" s="59"/>
      <c r="M29" s="60"/>
      <c r="N29" s="60"/>
      <c r="O29" s="59"/>
      <c r="P29" s="60"/>
      <c r="Q29" s="60"/>
      <c r="R29" s="59"/>
      <c r="S29" s="60"/>
      <c r="T29" s="60"/>
      <c r="U29" s="59"/>
      <c r="V29" s="60"/>
      <c r="W29" s="60"/>
      <c r="X29" s="59"/>
      <c r="Y29" s="60"/>
      <c r="Z29" s="60"/>
      <c r="AA29" s="59"/>
      <c r="AB29" s="60"/>
      <c r="AC29" s="60"/>
      <c r="AD29" s="59"/>
      <c r="AE29" s="60"/>
      <c r="AF29" s="60"/>
      <c r="AG29" s="59"/>
      <c r="AH29" s="60"/>
      <c r="AI29" s="60"/>
      <c r="AJ29" s="59"/>
      <c r="AK29" s="60"/>
      <c r="AL29" s="60"/>
      <c r="AM29" s="61">
        <f t="shared" si="3"/>
        <v>0</v>
      </c>
    </row>
    <row r="30" spans="2:39" ht="20.100000000000001" customHeight="1" x14ac:dyDescent="0.15">
      <c r="B30" s="58"/>
      <c r="C30" s="59"/>
      <c r="D30" s="60"/>
      <c r="E30" s="60"/>
      <c r="F30" s="59"/>
      <c r="G30" s="60"/>
      <c r="H30" s="60"/>
      <c r="I30" s="59"/>
      <c r="J30" s="60"/>
      <c r="K30" s="60"/>
      <c r="L30" s="59"/>
      <c r="M30" s="60"/>
      <c r="N30" s="60"/>
      <c r="O30" s="59"/>
      <c r="P30" s="60"/>
      <c r="Q30" s="60"/>
      <c r="R30" s="59"/>
      <c r="S30" s="60"/>
      <c r="T30" s="60"/>
      <c r="U30" s="59"/>
      <c r="V30" s="60"/>
      <c r="W30" s="60"/>
      <c r="X30" s="59"/>
      <c r="Y30" s="60"/>
      <c r="Z30" s="60"/>
      <c r="AA30" s="59"/>
      <c r="AB30" s="60"/>
      <c r="AC30" s="60"/>
      <c r="AD30" s="59"/>
      <c r="AE30" s="60"/>
      <c r="AF30" s="60"/>
      <c r="AG30" s="59"/>
      <c r="AH30" s="60"/>
      <c r="AI30" s="60"/>
      <c r="AJ30" s="59"/>
      <c r="AK30" s="60"/>
      <c r="AL30" s="60"/>
      <c r="AM30" s="61">
        <f t="shared" si="3"/>
        <v>0</v>
      </c>
    </row>
    <row r="31" spans="2:39" ht="20.100000000000001" customHeight="1" x14ac:dyDescent="0.15">
      <c r="B31" s="58"/>
      <c r="C31" s="59"/>
      <c r="D31" s="60"/>
      <c r="E31" s="60"/>
      <c r="F31" s="59"/>
      <c r="G31" s="60"/>
      <c r="H31" s="60"/>
      <c r="I31" s="59"/>
      <c r="J31" s="60"/>
      <c r="K31" s="60"/>
      <c r="L31" s="59"/>
      <c r="M31" s="60"/>
      <c r="N31" s="60"/>
      <c r="O31" s="59"/>
      <c r="P31" s="60"/>
      <c r="Q31" s="60"/>
      <c r="R31" s="59"/>
      <c r="S31" s="60"/>
      <c r="T31" s="60"/>
      <c r="U31" s="59"/>
      <c r="V31" s="60"/>
      <c r="W31" s="60"/>
      <c r="X31" s="59"/>
      <c r="Y31" s="60"/>
      <c r="Z31" s="60"/>
      <c r="AA31" s="59"/>
      <c r="AB31" s="60"/>
      <c r="AC31" s="60"/>
      <c r="AD31" s="59"/>
      <c r="AE31" s="60"/>
      <c r="AF31" s="60"/>
      <c r="AG31" s="59"/>
      <c r="AH31" s="60"/>
      <c r="AI31" s="60"/>
      <c r="AJ31" s="59"/>
      <c r="AK31" s="60"/>
      <c r="AL31" s="60"/>
      <c r="AM31" s="61">
        <f t="shared" si="3"/>
        <v>0</v>
      </c>
    </row>
    <row r="32" spans="2:39" ht="20.100000000000001" customHeight="1" x14ac:dyDescent="0.15">
      <c r="B32" s="58"/>
      <c r="C32" s="59"/>
      <c r="D32" s="60"/>
      <c r="E32" s="60"/>
      <c r="F32" s="59"/>
      <c r="G32" s="60"/>
      <c r="H32" s="60"/>
      <c r="I32" s="59"/>
      <c r="J32" s="60"/>
      <c r="K32" s="60"/>
      <c r="L32" s="59"/>
      <c r="M32" s="60"/>
      <c r="N32" s="60"/>
      <c r="O32" s="59"/>
      <c r="P32" s="60"/>
      <c r="Q32" s="60"/>
      <c r="R32" s="59"/>
      <c r="S32" s="60"/>
      <c r="T32" s="60"/>
      <c r="U32" s="59"/>
      <c r="V32" s="60"/>
      <c r="W32" s="60"/>
      <c r="X32" s="59"/>
      <c r="Y32" s="60"/>
      <c r="Z32" s="60"/>
      <c r="AA32" s="59"/>
      <c r="AB32" s="60"/>
      <c r="AC32" s="60"/>
      <c r="AD32" s="59"/>
      <c r="AE32" s="60"/>
      <c r="AF32" s="60"/>
      <c r="AG32" s="59"/>
      <c r="AH32" s="60"/>
      <c r="AI32" s="60"/>
      <c r="AJ32" s="59"/>
      <c r="AK32" s="60"/>
      <c r="AL32" s="60"/>
      <c r="AM32" s="61">
        <f t="shared" si="3"/>
        <v>0</v>
      </c>
    </row>
    <row r="33" spans="2:39" ht="20.100000000000001" customHeight="1" x14ac:dyDescent="0.15">
      <c r="B33" s="62" t="s">
        <v>134</v>
      </c>
      <c r="C33" s="59">
        <f>SUM(C19:C32)</f>
        <v>0</v>
      </c>
      <c r="D33" s="63">
        <f t="shared" ref="D33:AL33" si="4">SUM(D8:D32)</f>
        <v>120</v>
      </c>
      <c r="E33" s="64">
        <f t="shared" si="4"/>
        <v>54</v>
      </c>
      <c r="F33" s="59">
        <f t="shared" si="4"/>
        <v>54</v>
      </c>
      <c r="G33" s="63">
        <f t="shared" si="4"/>
        <v>79</v>
      </c>
      <c r="H33" s="64">
        <f t="shared" si="4"/>
        <v>54</v>
      </c>
      <c r="I33" s="59">
        <f t="shared" si="4"/>
        <v>20</v>
      </c>
      <c r="J33" s="63">
        <f t="shared" si="4"/>
        <v>60</v>
      </c>
      <c r="K33" s="64">
        <f t="shared" si="4"/>
        <v>160</v>
      </c>
      <c r="L33" s="59">
        <f t="shared" si="4"/>
        <v>260</v>
      </c>
      <c r="M33" s="63">
        <f t="shared" si="4"/>
        <v>310</v>
      </c>
      <c r="N33" s="64">
        <f t="shared" si="4"/>
        <v>360</v>
      </c>
      <c r="O33" s="59">
        <f t="shared" si="4"/>
        <v>310</v>
      </c>
      <c r="P33" s="63">
        <f t="shared" si="4"/>
        <v>267</v>
      </c>
      <c r="Q33" s="64">
        <f t="shared" si="4"/>
        <v>192</v>
      </c>
      <c r="R33" s="59">
        <f t="shared" si="4"/>
        <v>192</v>
      </c>
      <c r="S33" s="63">
        <f t="shared" si="4"/>
        <v>185</v>
      </c>
      <c r="T33" s="64">
        <f t="shared" si="4"/>
        <v>212</v>
      </c>
      <c r="U33" s="59">
        <f t="shared" si="4"/>
        <v>312</v>
      </c>
      <c r="V33" s="63">
        <f t="shared" si="4"/>
        <v>355</v>
      </c>
      <c r="W33" s="64">
        <f t="shared" si="4"/>
        <v>367</v>
      </c>
      <c r="X33" s="59">
        <f t="shared" si="4"/>
        <v>367</v>
      </c>
      <c r="Y33" s="63">
        <f t="shared" si="4"/>
        <v>310</v>
      </c>
      <c r="Z33" s="64">
        <f t="shared" si="4"/>
        <v>267</v>
      </c>
      <c r="AA33" s="59">
        <f t="shared" si="4"/>
        <v>260</v>
      </c>
      <c r="AB33" s="63">
        <f t="shared" si="4"/>
        <v>217</v>
      </c>
      <c r="AC33" s="64">
        <f t="shared" si="4"/>
        <v>160</v>
      </c>
      <c r="AD33" s="59">
        <f t="shared" si="4"/>
        <v>155</v>
      </c>
      <c r="AE33" s="63">
        <f t="shared" si="4"/>
        <v>55</v>
      </c>
      <c r="AF33" s="64">
        <f t="shared" si="4"/>
        <v>7</v>
      </c>
      <c r="AG33" s="59">
        <f t="shared" si="4"/>
        <v>5</v>
      </c>
      <c r="AH33" s="63">
        <f t="shared" si="4"/>
        <v>0</v>
      </c>
      <c r="AI33" s="64">
        <f t="shared" si="4"/>
        <v>5</v>
      </c>
      <c r="AJ33" s="59">
        <f t="shared" si="4"/>
        <v>40</v>
      </c>
      <c r="AK33" s="63">
        <f t="shared" si="4"/>
        <v>45</v>
      </c>
      <c r="AL33" s="64">
        <f t="shared" si="4"/>
        <v>85</v>
      </c>
      <c r="AM33" s="61">
        <f t="shared" si="3"/>
        <v>5901</v>
      </c>
    </row>
    <row r="34" spans="2:39" ht="20.100000000000001" customHeight="1" thickBot="1" x14ac:dyDescent="0.2">
      <c r="B34" s="65" t="s">
        <v>135</v>
      </c>
      <c r="C34" s="66"/>
      <c r="D34" s="67">
        <f>SUM(C33:E33)</f>
        <v>174</v>
      </c>
      <c r="E34" s="67"/>
      <c r="F34" s="66"/>
      <c r="G34" s="67">
        <f>SUM(F33:H33)</f>
        <v>187</v>
      </c>
      <c r="H34" s="67"/>
      <c r="I34" s="66"/>
      <c r="J34" s="67">
        <f>SUM(I33:K33)</f>
        <v>240</v>
      </c>
      <c r="K34" s="67"/>
      <c r="L34" s="66"/>
      <c r="M34" s="67">
        <f>SUM(L33:N33)</f>
        <v>930</v>
      </c>
      <c r="N34" s="67"/>
      <c r="O34" s="66"/>
      <c r="P34" s="67">
        <f>SUM(O33:Q33)</f>
        <v>769</v>
      </c>
      <c r="Q34" s="67"/>
      <c r="R34" s="66"/>
      <c r="S34" s="67">
        <f>SUM(R33:T33)</f>
        <v>589</v>
      </c>
      <c r="T34" s="67"/>
      <c r="U34" s="66"/>
      <c r="V34" s="67">
        <f>SUM(U33:W33)</f>
        <v>1034</v>
      </c>
      <c r="W34" s="67"/>
      <c r="X34" s="66"/>
      <c r="Y34" s="67">
        <f>SUM(X33:Z33)</f>
        <v>944</v>
      </c>
      <c r="Z34" s="67"/>
      <c r="AA34" s="66"/>
      <c r="AB34" s="67">
        <f>SUM(AA33:AC33)</f>
        <v>637</v>
      </c>
      <c r="AC34" s="67"/>
      <c r="AD34" s="66"/>
      <c r="AE34" s="67">
        <f>SUM(AD33:AF33)</f>
        <v>217</v>
      </c>
      <c r="AF34" s="67"/>
      <c r="AG34" s="66"/>
      <c r="AH34" s="67">
        <f>SUM(AG33:AI33)</f>
        <v>10</v>
      </c>
      <c r="AI34" s="67"/>
      <c r="AJ34" s="66"/>
      <c r="AK34" s="67">
        <f>SUM(AJ33:AL33)</f>
        <v>170</v>
      </c>
      <c r="AL34" s="67"/>
      <c r="AM34" s="68">
        <f>SUM(AM8:AM32)</f>
        <v>5901</v>
      </c>
    </row>
  </sheetData>
  <mergeCells count="13">
    <mergeCell ref="C3:E3"/>
    <mergeCell ref="F3:H3"/>
    <mergeCell ref="I3:K3"/>
    <mergeCell ref="L3:N3"/>
    <mergeCell ref="O3:Q3"/>
    <mergeCell ref="AG3:AI3"/>
    <mergeCell ref="AJ3:AL3"/>
    <mergeCell ref="AM3:AM4"/>
    <mergeCell ref="R3:T3"/>
    <mergeCell ref="U3:W3"/>
    <mergeCell ref="X3:Z3"/>
    <mergeCell ref="AA3:AC3"/>
    <mergeCell ref="AD3:AF3"/>
  </mergeCells>
  <phoneticPr fontId="4"/>
  <pageMargins left="0.78740157480314965" right="0.78740157480314965" top="0.78740157480314965" bottom="0.78740157480314965" header="0.39370078740157483" footer="0.39370078740157483"/>
  <pageSetup paperSize="9" scale="52"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34"/>
  <sheetViews>
    <sheetView showZeros="0" zoomScale="75" zoomScaleNormal="75" zoomScaleSheetLayoutView="75" workbookViewId="0"/>
  </sheetViews>
  <sheetFormatPr defaultRowHeight="13.5" x14ac:dyDescent="0.15"/>
  <cols>
    <col min="1" max="1" width="1.625" style="43" customWidth="1"/>
    <col min="2" max="2" width="22.625" style="43" customWidth="1"/>
    <col min="3" max="38" width="6.125" style="43" customWidth="1"/>
    <col min="39" max="39" width="7" style="43" customWidth="1"/>
    <col min="40" max="40" width="1.5" style="43" customWidth="1"/>
    <col min="41" max="16384" width="9" style="43"/>
  </cols>
  <sheetData>
    <row r="1" spans="2:62" ht="9.9499999999999993" customHeight="1" x14ac:dyDescent="0.15"/>
    <row r="2" spans="2:62" ht="24.95" customHeight="1" thickBot="1" x14ac:dyDescent="0.2">
      <c r="B2" s="4" t="s">
        <v>332</v>
      </c>
      <c r="C2" s="4"/>
      <c r="D2" s="4"/>
      <c r="E2" s="4"/>
      <c r="F2" s="4"/>
      <c r="G2" s="4"/>
      <c r="H2" s="4"/>
      <c r="I2" s="4"/>
      <c r="J2" s="4"/>
      <c r="K2" s="259" t="s">
        <v>237</v>
      </c>
      <c r="L2" s="258" t="s">
        <v>259</v>
      </c>
      <c r="M2" s="70"/>
      <c r="N2" s="259" t="s">
        <v>238</v>
      </c>
      <c r="O2" s="258" t="s">
        <v>627</v>
      </c>
      <c r="P2" s="4"/>
      <c r="Q2" s="4"/>
      <c r="R2" s="4"/>
      <c r="S2" s="4"/>
      <c r="T2" s="4"/>
      <c r="U2" s="4"/>
      <c r="V2" s="45"/>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20.100000000000001" customHeight="1" x14ac:dyDescent="0.15">
      <c r="B3" s="332" t="s">
        <v>319</v>
      </c>
      <c r="C3" s="952">
        <v>1</v>
      </c>
      <c r="D3" s="953"/>
      <c r="E3" s="954"/>
      <c r="F3" s="952">
        <v>2</v>
      </c>
      <c r="G3" s="953"/>
      <c r="H3" s="954"/>
      <c r="I3" s="952">
        <v>3</v>
      </c>
      <c r="J3" s="953"/>
      <c r="K3" s="954"/>
      <c r="L3" s="952">
        <v>4</v>
      </c>
      <c r="M3" s="953"/>
      <c r="N3" s="954"/>
      <c r="O3" s="952">
        <v>5</v>
      </c>
      <c r="P3" s="953"/>
      <c r="Q3" s="954"/>
      <c r="R3" s="952">
        <v>6</v>
      </c>
      <c r="S3" s="953"/>
      <c r="T3" s="954"/>
      <c r="U3" s="952">
        <v>7</v>
      </c>
      <c r="V3" s="953"/>
      <c r="W3" s="954"/>
      <c r="X3" s="952">
        <v>8</v>
      </c>
      <c r="Y3" s="953"/>
      <c r="Z3" s="954"/>
      <c r="AA3" s="952">
        <v>9</v>
      </c>
      <c r="AB3" s="953"/>
      <c r="AC3" s="954"/>
      <c r="AD3" s="952">
        <v>10</v>
      </c>
      <c r="AE3" s="953"/>
      <c r="AF3" s="954"/>
      <c r="AG3" s="952">
        <v>11</v>
      </c>
      <c r="AH3" s="953"/>
      <c r="AI3" s="954"/>
      <c r="AJ3" s="952">
        <v>12</v>
      </c>
      <c r="AK3" s="953"/>
      <c r="AL3" s="954"/>
      <c r="AM3" s="955" t="s">
        <v>34</v>
      </c>
    </row>
    <row r="4" spans="2:62" ht="20.100000000000001" customHeight="1" x14ac:dyDescent="0.15">
      <c r="B4" s="333"/>
      <c r="C4" s="323" t="s">
        <v>35</v>
      </c>
      <c r="D4" s="54" t="s">
        <v>36</v>
      </c>
      <c r="E4" s="55" t="s">
        <v>37</v>
      </c>
      <c r="F4" s="323" t="s">
        <v>35</v>
      </c>
      <c r="G4" s="55" t="s">
        <v>36</v>
      </c>
      <c r="H4" s="55" t="s">
        <v>37</v>
      </c>
      <c r="I4" s="323" t="s">
        <v>35</v>
      </c>
      <c r="J4" s="55" t="s">
        <v>36</v>
      </c>
      <c r="K4" s="55" t="s">
        <v>37</v>
      </c>
      <c r="L4" s="323" t="s">
        <v>35</v>
      </c>
      <c r="M4" s="55" t="s">
        <v>36</v>
      </c>
      <c r="N4" s="55" t="s">
        <v>37</v>
      </c>
      <c r="O4" s="323" t="s">
        <v>35</v>
      </c>
      <c r="P4" s="55" t="s">
        <v>36</v>
      </c>
      <c r="Q4" s="55" t="s">
        <v>37</v>
      </c>
      <c r="R4" s="323" t="s">
        <v>35</v>
      </c>
      <c r="S4" s="324" t="s">
        <v>36</v>
      </c>
      <c r="T4" s="324" t="s">
        <v>37</v>
      </c>
      <c r="U4" s="323" t="s">
        <v>35</v>
      </c>
      <c r="V4" s="55" t="s">
        <v>36</v>
      </c>
      <c r="W4" s="55" t="s">
        <v>37</v>
      </c>
      <c r="X4" s="323" t="s">
        <v>35</v>
      </c>
      <c r="Y4" s="55" t="s">
        <v>36</v>
      </c>
      <c r="Z4" s="55" t="s">
        <v>37</v>
      </c>
      <c r="AA4" s="323" t="s">
        <v>35</v>
      </c>
      <c r="AB4" s="55" t="s">
        <v>36</v>
      </c>
      <c r="AC4" s="55" t="s">
        <v>37</v>
      </c>
      <c r="AD4" s="323" t="s">
        <v>35</v>
      </c>
      <c r="AE4" s="55" t="s">
        <v>36</v>
      </c>
      <c r="AF4" s="55" t="s">
        <v>37</v>
      </c>
      <c r="AG4" s="323" t="s">
        <v>35</v>
      </c>
      <c r="AH4" s="55" t="s">
        <v>36</v>
      </c>
      <c r="AI4" s="55" t="s">
        <v>37</v>
      </c>
      <c r="AJ4" s="323" t="s">
        <v>35</v>
      </c>
      <c r="AK4" s="55" t="s">
        <v>36</v>
      </c>
      <c r="AL4" s="55" t="s">
        <v>37</v>
      </c>
      <c r="AM4" s="956"/>
    </row>
    <row r="5" spans="2:62" ht="20.100000000000001" customHeight="1" x14ac:dyDescent="0.15">
      <c r="B5" s="334" t="s">
        <v>320</v>
      </c>
      <c r="C5" s="56"/>
      <c r="D5" s="4"/>
      <c r="E5" s="4"/>
      <c r="F5" s="4"/>
      <c r="G5" s="4"/>
      <c r="H5" s="4"/>
      <c r="I5" s="4"/>
      <c r="J5" s="4"/>
      <c r="K5" s="4"/>
      <c r="L5" s="4"/>
      <c r="M5" s="4"/>
      <c r="N5" s="45"/>
      <c r="O5" s="45"/>
      <c r="P5" s="4"/>
      <c r="Q5" s="4"/>
      <c r="R5" s="4"/>
      <c r="S5" s="4"/>
      <c r="T5" s="4"/>
      <c r="U5" s="4"/>
      <c r="V5" s="4"/>
      <c r="W5" s="4"/>
      <c r="X5" s="4"/>
      <c r="Y5" s="4"/>
      <c r="Z5" s="4"/>
      <c r="AA5" s="4"/>
      <c r="AB5" s="4"/>
      <c r="AC5" s="4"/>
      <c r="AD5" s="4"/>
      <c r="AE5" s="4"/>
      <c r="AF5" s="4"/>
      <c r="AG5" s="4"/>
      <c r="AH5" s="4"/>
      <c r="AI5" s="4"/>
      <c r="AJ5" s="4"/>
      <c r="AK5" s="4"/>
      <c r="AL5" s="4"/>
      <c r="AM5" s="325"/>
    </row>
    <row r="6" spans="2:62" ht="20.100000000000001" customHeight="1" x14ac:dyDescent="0.15">
      <c r="B6" s="330"/>
      <c r="C6" s="56"/>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25"/>
    </row>
    <row r="7" spans="2:62" ht="20.100000000000001" customHeight="1" x14ac:dyDescent="0.15">
      <c r="B7" s="333"/>
      <c r="C7" s="326"/>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8"/>
    </row>
    <row r="8" spans="2:62" ht="20.100000000000001" customHeight="1" x14ac:dyDescent="0.15">
      <c r="B8" s="335" t="s">
        <v>281</v>
      </c>
      <c r="C8" s="282"/>
      <c r="D8" s="60"/>
      <c r="E8" s="60"/>
      <c r="F8" s="282"/>
      <c r="G8" s="60"/>
      <c r="H8" s="60"/>
      <c r="I8" s="282">
        <v>50</v>
      </c>
      <c r="J8" s="60">
        <v>33</v>
      </c>
      <c r="K8" s="60"/>
      <c r="L8" s="282"/>
      <c r="M8" s="60"/>
      <c r="N8" s="60"/>
      <c r="O8" s="282"/>
      <c r="P8" s="60"/>
      <c r="Q8" s="60"/>
      <c r="R8" s="282"/>
      <c r="S8" s="60"/>
      <c r="T8" s="60"/>
      <c r="U8" s="282"/>
      <c r="V8" s="60"/>
      <c r="W8" s="60"/>
      <c r="X8" s="282"/>
      <c r="Y8" s="60"/>
      <c r="Z8" s="60"/>
      <c r="AA8" s="282"/>
      <c r="AB8" s="60"/>
      <c r="AC8" s="60"/>
      <c r="AD8" s="282"/>
      <c r="AE8" s="60"/>
      <c r="AF8" s="60"/>
      <c r="AG8" s="282"/>
      <c r="AH8" s="60"/>
      <c r="AI8" s="60"/>
      <c r="AJ8" s="282"/>
      <c r="AK8" s="60"/>
      <c r="AL8" s="60"/>
      <c r="AM8" s="329">
        <f>SUM(C8:AL8)</f>
        <v>83</v>
      </c>
    </row>
    <row r="9" spans="2:62" ht="20.100000000000001" customHeight="1" x14ac:dyDescent="0.15">
      <c r="B9" s="335" t="s">
        <v>321</v>
      </c>
      <c r="C9" s="282"/>
      <c r="D9" s="60"/>
      <c r="E9" s="60"/>
      <c r="F9" s="282"/>
      <c r="G9" s="60"/>
      <c r="H9" s="60"/>
      <c r="I9" s="282"/>
      <c r="J9" s="60">
        <v>37</v>
      </c>
      <c r="K9" s="60"/>
      <c r="L9" s="282"/>
      <c r="M9" s="60"/>
      <c r="N9" s="60"/>
      <c r="O9" s="282"/>
      <c r="P9" s="60"/>
      <c r="Q9" s="60"/>
      <c r="R9" s="282"/>
      <c r="S9" s="60"/>
      <c r="T9" s="60"/>
      <c r="U9" s="282"/>
      <c r="V9" s="60"/>
      <c r="W9" s="60"/>
      <c r="X9" s="282"/>
      <c r="Y9" s="60"/>
      <c r="Z9" s="60"/>
      <c r="AA9" s="282"/>
      <c r="AB9" s="60"/>
      <c r="AC9" s="60"/>
      <c r="AD9" s="282"/>
      <c r="AE9" s="60"/>
      <c r="AF9" s="60"/>
      <c r="AG9" s="282"/>
      <c r="AH9" s="60"/>
      <c r="AI9" s="60"/>
      <c r="AJ9" s="282"/>
      <c r="AK9" s="60"/>
      <c r="AL9" s="60"/>
      <c r="AM9" s="329">
        <f t="shared" ref="AM9:AM18" si="0">SUM(C9:AL9)</f>
        <v>37</v>
      </c>
    </row>
    <row r="10" spans="2:62" ht="20.100000000000001" customHeight="1" x14ac:dyDescent="0.15">
      <c r="B10" s="335" t="s">
        <v>322</v>
      </c>
      <c r="C10" s="282"/>
      <c r="D10" s="60"/>
      <c r="E10" s="60"/>
      <c r="F10" s="282"/>
      <c r="G10" s="60"/>
      <c r="H10" s="60"/>
      <c r="I10" s="282"/>
      <c r="J10" s="60"/>
      <c r="K10" s="60">
        <v>100</v>
      </c>
      <c r="L10" s="282">
        <v>100</v>
      </c>
      <c r="M10" s="60">
        <v>16</v>
      </c>
      <c r="N10" s="60"/>
      <c r="O10" s="282"/>
      <c r="P10" s="60"/>
      <c r="Q10" s="60"/>
      <c r="R10" s="282"/>
      <c r="S10" s="60"/>
      <c r="T10" s="60"/>
      <c r="U10" s="282"/>
      <c r="V10" s="60"/>
      <c r="W10" s="60"/>
      <c r="X10" s="282"/>
      <c r="Y10" s="60"/>
      <c r="Z10" s="60"/>
      <c r="AA10" s="282"/>
      <c r="AB10" s="60"/>
      <c r="AC10" s="60"/>
      <c r="AD10" s="282"/>
      <c r="AE10" s="60"/>
      <c r="AF10" s="60"/>
      <c r="AG10" s="282"/>
      <c r="AH10" s="60"/>
      <c r="AI10" s="60"/>
      <c r="AJ10" s="282"/>
      <c r="AK10" s="60"/>
      <c r="AL10" s="60"/>
      <c r="AM10" s="329">
        <f t="shared" si="0"/>
        <v>216</v>
      </c>
    </row>
    <row r="11" spans="2:62" ht="20.100000000000001" customHeight="1" x14ac:dyDescent="0.15">
      <c r="B11" s="330" t="s">
        <v>323</v>
      </c>
      <c r="C11" s="282"/>
      <c r="D11" s="60"/>
      <c r="E11" s="60"/>
      <c r="F11" s="282"/>
      <c r="G11" s="60"/>
      <c r="H11" s="60"/>
      <c r="I11" s="282"/>
      <c r="J11" s="60"/>
      <c r="K11" s="60"/>
      <c r="L11" s="282"/>
      <c r="M11" s="60">
        <v>40</v>
      </c>
      <c r="N11" s="60"/>
      <c r="O11" s="282"/>
      <c r="P11" s="60"/>
      <c r="Q11" s="60"/>
      <c r="R11" s="282"/>
      <c r="S11" s="60"/>
      <c r="T11" s="60"/>
      <c r="U11" s="282"/>
      <c r="V11" s="60"/>
      <c r="W11" s="60"/>
      <c r="X11" s="282"/>
      <c r="Y11" s="60"/>
      <c r="Z11" s="60"/>
      <c r="AA11" s="282"/>
      <c r="AB11" s="60"/>
      <c r="AC11" s="60"/>
      <c r="AD11" s="282"/>
      <c r="AE11" s="60"/>
      <c r="AF11" s="60"/>
      <c r="AG11" s="282"/>
      <c r="AH11" s="60"/>
      <c r="AI11" s="60"/>
      <c r="AJ11" s="282"/>
      <c r="AK11" s="60"/>
      <c r="AL11" s="60"/>
      <c r="AM11" s="329">
        <f t="shared" si="0"/>
        <v>40</v>
      </c>
    </row>
    <row r="12" spans="2:62" ht="20.100000000000001" customHeight="1" x14ac:dyDescent="0.15">
      <c r="B12" s="335" t="s">
        <v>324</v>
      </c>
      <c r="C12" s="282"/>
      <c r="D12" s="60"/>
      <c r="E12" s="60"/>
      <c r="F12" s="282"/>
      <c r="G12" s="60"/>
      <c r="H12" s="60"/>
      <c r="I12" s="282"/>
      <c r="J12" s="60"/>
      <c r="K12" s="60"/>
      <c r="L12" s="282"/>
      <c r="M12" s="60"/>
      <c r="N12" s="60">
        <v>125</v>
      </c>
      <c r="O12" s="282">
        <v>250</v>
      </c>
      <c r="P12" s="60">
        <v>250</v>
      </c>
      <c r="Q12" s="60">
        <v>250</v>
      </c>
      <c r="R12" s="282">
        <v>83</v>
      </c>
      <c r="S12" s="60">
        <v>83</v>
      </c>
      <c r="T12" s="60">
        <v>83</v>
      </c>
      <c r="U12" s="282">
        <v>250</v>
      </c>
      <c r="V12" s="60">
        <v>250</v>
      </c>
      <c r="W12" s="60">
        <v>292</v>
      </c>
      <c r="X12" s="282">
        <v>292</v>
      </c>
      <c r="Y12" s="60">
        <v>292</v>
      </c>
      <c r="Z12" s="60">
        <v>250</v>
      </c>
      <c r="AA12" s="282">
        <v>208</v>
      </c>
      <c r="AB12" s="60">
        <v>208</v>
      </c>
      <c r="AC12" s="60">
        <v>167</v>
      </c>
      <c r="AD12" s="282">
        <v>83</v>
      </c>
      <c r="AE12" s="60">
        <v>42</v>
      </c>
      <c r="AF12" s="60"/>
      <c r="AG12" s="282"/>
      <c r="AH12" s="60"/>
      <c r="AI12" s="60"/>
      <c r="AJ12" s="282"/>
      <c r="AK12" s="60"/>
      <c r="AL12" s="60"/>
      <c r="AM12" s="329">
        <f t="shared" si="0"/>
        <v>3458</v>
      </c>
    </row>
    <row r="13" spans="2:62" ht="20.100000000000001" customHeight="1" x14ac:dyDescent="0.15">
      <c r="B13" s="331" t="s">
        <v>325</v>
      </c>
      <c r="C13" s="282"/>
      <c r="D13" s="60"/>
      <c r="E13" s="60"/>
      <c r="F13" s="282"/>
      <c r="G13" s="60"/>
      <c r="H13" s="60"/>
      <c r="I13" s="282"/>
      <c r="J13" s="60"/>
      <c r="K13" s="60"/>
      <c r="L13" s="282"/>
      <c r="M13" s="60"/>
      <c r="N13" s="60">
        <v>10</v>
      </c>
      <c r="O13" s="282">
        <v>10</v>
      </c>
      <c r="P13" s="60">
        <v>10</v>
      </c>
      <c r="Q13" s="60">
        <v>10</v>
      </c>
      <c r="R13" s="282">
        <v>10</v>
      </c>
      <c r="S13" s="60">
        <v>10</v>
      </c>
      <c r="T13" s="60">
        <v>10</v>
      </c>
      <c r="U13" s="282">
        <v>10</v>
      </c>
      <c r="V13" s="60">
        <v>10</v>
      </c>
      <c r="W13" s="60">
        <v>10</v>
      </c>
      <c r="X13" s="282">
        <v>10</v>
      </c>
      <c r="Y13" s="60">
        <v>10</v>
      </c>
      <c r="Z13" s="60">
        <v>10</v>
      </c>
      <c r="AA13" s="282">
        <v>10</v>
      </c>
      <c r="AB13" s="60">
        <v>10</v>
      </c>
      <c r="AC13" s="60">
        <v>10</v>
      </c>
      <c r="AD13" s="282">
        <v>10</v>
      </c>
      <c r="AE13" s="60">
        <v>10</v>
      </c>
      <c r="AF13" s="60">
        <v>10</v>
      </c>
      <c r="AG13" s="282"/>
      <c r="AH13" s="60"/>
      <c r="AI13" s="60"/>
      <c r="AJ13" s="282"/>
      <c r="AK13" s="60"/>
      <c r="AL13" s="60"/>
      <c r="AM13" s="329">
        <f t="shared" si="0"/>
        <v>190</v>
      </c>
    </row>
    <row r="14" spans="2:62" ht="20.100000000000001" customHeight="1" x14ac:dyDescent="0.15">
      <c r="B14" s="331" t="s">
        <v>326</v>
      </c>
      <c r="C14" s="282"/>
      <c r="D14" s="60"/>
      <c r="E14" s="60"/>
      <c r="F14" s="282"/>
      <c r="G14" s="60"/>
      <c r="H14" s="60"/>
      <c r="I14" s="282"/>
      <c r="J14" s="60"/>
      <c r="K14" s="60"/>
      <c r="L14" s="282"/>
      <c r="M14" s="60"/>
      <c r="N14" s="60"/>
      <c r="O14" s="282"/>
      <c r="P14" s="60"/>
      <c r="Q14" s="60"/>
      <c r="R14" s="282">
        <v>30</v>
      </c>
      <c r="S14" s="60">
        <v>30</v>
      </c>
      <c r="T14" s="60">
        <v>30</v>
      </c>
      <c r="U14" s="282"/>
      <c r="V14" s="60"/>
      <c r="W14" s="60"/>
      <c r="X14" s="282"/>
      <c r="Y14" s="60"/>
      <c r="Z14" s="60"/>
      <c r="AA14" s="282"/>
      <c r="AB14" s="60"/>
      <c r="AC14" s="60"/>
      <c r="AD14" s="282"/>
      <c r="AE14" s="60"/>
      <c r="AF14" s="60"/>
      <c r="AG14" s="282"/>
      <c r="AH14" s="60"/>
      <c r="AI14" s="60"/>
      <c r="AJ14" s="282"/>
      <c r="AK14" s="60"/>
      <c r="AL14" s="60"/>
      <c r="AM14" s="329">
        <f t="shared" si="0"/>
        <v>90</v>
      </c>
    </row>
    <row r="15" spans="2:62" ht="20.100000000000001" customHeight="1" x14ac:dyDescent="0.15">
      <c r="B15" s="331" t="s">
        <v>327</v>
      </c>
      <c r="C15" s="282"/>
      <c r="D15" s="60"/>
      <c r="E15" s="60"/>
      <c r="F15" s="282"/>
      <c r="G15" s="60"/>
      <c r="H15" s="60"/>
      <c r="I15" s="282"/>
      <c r="J15" s="60"/>
      <c r="K15" s="60"/>
      <c r="L15" s="282"/>
      <c r="M15" s="60"/>
      <c r="N15" s="60"/>
      <c r="O15" s="282"/>
      <c r="P15" s="60">
        <v>5</v>
      </c>
      <c r="Q15" s="60">
        <v>5</v>
      </c>
      <c r="R15" s="282">
        <v>5</v>
      </c>
      <c r="S15" s="60"/>
      <c r="T15" s="60"/>
      <c r="U15" s="282"/>
      <c r="V15" s="60"/>
      <c r="W15" s="60">
        <v>5</v>
      </c>
      <c r="X15" s="282">
        <v>10</v>
      </c>
      <c r="Y15" s="60">
        <v>10</v>
      </c>
      <c r="Z15" s="60">
        <v>10</v>
      </c>
      <c r="AA15" s="282">
        <v>5</v>
      </c>
      <c r="AB15" s="60">
        <v>5</v>
      </c>
      <c r="AC15" s="60">
        <v>5</v>
      </c>
      <c r="AD15" s="282"/>
      <c r="AE15" s="60"/>
      <c r="AF15" s="60"/>
      <c r="AG15" s="282"/>
      <c r="AH15" s="60"/>
      <c r="AI15" s="60"/>
      <c r="AJ15" s="282"/>
      <c r="AK15" s="60"/>
      <c r="AL15" s="60"/>
      <c r="AM15" s="329">
        <f t="shared" si="0"/>
        <v>65</v>
      </c>
    </row>
    <row r="16" spans="2:62" ht="20.100000000000001" customHeight="1" x14ac:dyDescent="0.15">
      <c r="B16" s="331" t="s">
        <v>328</v>
      </c>
      <c r="C16" s="282"/>
      <c r="D16" s="60"/>
      <c r="E16" s="60"/>
      <c r="F16" s="282"/>
      <c r="G16" s="60"/>
      <c r="H16" s="60"/>
      <c r="I16" s="282"/>
      <c r="J16" s="60"/>
      <c r="K16" s="60"/>
      <c r="L16" s="282"/>
      <c r="M16" s="60"/>
      <c r="N16" s="60"/>
      <c r="O16" s="282"/>
      <c r="P16" s="60"/>
      <c r="Q16" s="60"/>
      <c r="R16" s="282">
        <v>7</v>
      </c>
      <c r="S16" s="60"/>
      <c r="T16" s="60">
        <v>7</v>
      </c>
      <c r="U16" s="282">
        <v>7</v>
      </c>
      <c r="V16" s="60"/>
      <c r="W16" s="60">
        <v>7</v>
      </c>
      <c r="X16" s="282"/>
      <c r="Y16" s="60">
        <v>7</v>
      </c>
      <c r="Z16" s="60"/>
      <c r="AA16" s="282"/>
      <c r="AB16" s="60">
        <v>7</v>
      </c>
      <c r="AC16" s="60"/>
      <c r="AD16" s="282"/>
      <c r="AE16" s="60"/>
      <c r="AF16" s="60">
        <v>7</v>
      </c>
      <c r="AG16" s="282"/>
      <c r="AH16" s="60"/>
      <c r="AI16" s="60"/>
      <c r="AJ16" s="282"/>
      <c r="AK16" s="60"/>
      <c r="AL16" s="60"/>
      <c r="AM16" s="329">
        <f t="shared" si="0"/>
        <v>49</v>
      </c>
    </row>
    <row r="17" spans="2:39" ht="20.100000000000001" customHeight="1" x14ac:dyDescent="0.15">
      <c r="B17" s="335" t="s">
        <v>329</v>
      </c>
      <c r="C17" s="282"/>
      <c r="D17" s="60"/>
      <c r="E17" s="60"/>
      <c r="F17" s="282"/>
      <c r="G17" s="60"/>
      <c r="H17" s="60"/>
      <c r="I17" s="282"/>
      <c r="J17" s="60"/>
      <c r="K17" s="60"/>
      <c r="L17" s="282"/>
      <c r="M17" s="60"/>
      <c r="N17" s="60"/>
      <c r="O17" s="282"/>
      <c r="P17" s="60"/>
      <c r="Q17" s="60"/>
      <c r="R17" s="282"/>
      <c r="S17" s="60"/>
      <c r="T17" s="60"/>
      <c r="U17" s="282"/>
      <c r="V17" s="60"/>
      <c r="W17" s="60"/>
      <c r="X17" s="282"/>
      <c r="Y17" s="60"/>
      <c r="Z17" s="60"/>
      <c r="AA17" s="282"/>
      <c r="AB17" s="60"/>
      <c r="AC17" s="60"/>
      <c r="AD17" s="282"/>
      <c r="AE17" s="60"/>
      <c r="AF17" s="60"/>
      <c r="AG17" s="282"/>
      <c r="AH17" s="60"/>
      <c r="AI17" s="60"/>
      <c r="AJ17" s="282">
        <v>40</v>
      </c>
      <c r="AK17" s="60">
        <v>45</v>
      </c>
      <c r="AL17" s="60"/>
      <c r="AM17" s="329">
        <f t="shared" si="0"/>
        <v>85</v>
      </c>
    </row>
    <row r="18" spans="2:39" ht="20.100000000000001" customHeight="1" x14ac:dyDescent="0.15">
      <c r="B18" s="335" t="s">
        <v>330</v>
      </c>
      <c r="C18" s="282"/>
      <c r="D18" s="60"/>
      <c r="E18" s="60"/>
      <c r="F18" s="282"/>
      <c r="G18" s="60"/>
      <c r="H18" s="60"/>
      <c r="I18" s="282"/>
      <c r="J18" s="60"/>
      <c r="K18" s="60"/>
      <c r="L18" s="282"/>
      <c r="M18" s="60"/>
      <c r="N18" s="60"/>
      <c r="O18" s="282"/>
      <c r="P18" s="60"/>
      <c r="Q18" s="60"/>
      <c r="R18" s="282"/>
      <c r="S18" s="60"/>
      <c r="T18" s="60"/>
      <c r="U18" s="282"/>
      <c r="V18" s="60"/>
      <c r="W18" s="60"/>
      <c r="X18" s="282"/>
      <c r="Y18" s="60"/>
      <c r="Z18" s="60"/>
      <c r="AA18" s="282"/>
      <c r="AB18" s="60"/>
      <c r="AC18" s="60"/>
      <c r="AD18" s="282"/>
      <c r="AE18" s="60"/>
      <c r="AF18" s="60"/>
      <c r="AG18" s="282"/>
      <c r="AH18" s="60"/>
      <c r="AI18" s="60"/>
      <c r="AJ18" s="282"/>
      <c r="AK18" s="60"/>
      <c r="AL18" s="60">
        <v>85</v>
      </c>
      <c r="AM18" s="329">
        <f t="shared" si="0"/>
        <v>85</v>
      </c>
    </row>
    <row r="19" spans="2:39" ht="20.100000000000001" customHeight="1" x14ac:dyDescent="0.15">
      <c r="B19" s="58"/>
      <c r="C19" s="59"/>
      <c r="D19" s="60"/>
      <c r="E19" s="60"/>
      <c r="F19" s="59"/>
      <c r="G19" s="60"/>
      <c r="H19" s="60"/>
      <c r="I19" s="59"/>
      <c r="J19" s="60"/>
      <c r="K19" s="60"/>
      <c r="L19" s="59"/>
      <c r="M19" s="60"/>
      <c r="N19" s="60"/>
      <c r="O19" s="59"/>
      <c r="P19" s="60"/>
      <c r="Q19" s="60"/>
      <c r="R19" s="59"/>
      <c r="S19" s="60"/>
      <c r="T19" s="60"/>
      <c r="U19" s="59"/>
      <c r="V19" s="60"/>
      <c r="W19" s="60"/>
      <c r="X19" s="59"/>
      <c r="Y19" s="60"/>
      <c r="Z19" s="60"/>
      <c r="AA19" s="59"/>
      <c r="AB19" s="60"/>
      <c r="AC19" s="60"/>
      <c r="AD19" s="59"/>
      <c r="AE19" s="60"/>
      <c r="AF19" s="60"/>
      <c r="AG19" s="59"/>
      <c r="AH19" s="60"/>
      <c r="AI19" s="60"/>
      <c r="AJ19" s="59"/>
      <c r="AK19" s="60"/>
      <c r="AL19" s="60"/>
      <c r="AM19" s="61">
        <f t="shared" ref="AM19:AM33" si="1">SUM(C19:AL19)</f>
        <v>0</v>
      </c>
    </row>
    <row r="20" spans="2:39" ht="20.100000000000001" customHeight="1" x14ac:dyDescent="0.15">
      <c r="B20" s="58"/>
      <c r="C20" s="59"/>
      <c r="D20" s="60"/>
      <c r="E20" s="60"/>
      <c r="F20" s="59"/>
      <c r="G20" s="60"/>
      <c r="H20" s="60"/>
      <c r="I20" s="59"/>
      <c r="J20" s="60"/>
      <c r="K20" s="60"/>
      <c r="L20" s="59"/>
      <c r="M20" s="60"/>
      <c r="N20" s="60"/>
      <c r="O20" s="59"/>
      <c r="P20" s="60"/>
      <c r="Q20" s="60"/>
      <c r="R20" s="59"/>
      <c r="S20" s="60"/>
      <c r="T20" s="60"/>
      <c r="U20" s="59"/>
      <c r="V20" s="60"/>
      <c r="W20" s="60"/>
      <c r="X20" s="59"/>
      <c r="Y20" s="60"/>
      <c r="Z20" s="60"/>
      <c r="AA20" s="59"/>
      <c r="AB20" s="60"/>
      <c r="AC20" s="60"/>
      <c r="AD20" s="59"/>
      <c r="AE20" s="60"/>
      <c r="AF20" s="60"/>
      <c r="AG20" s="59"/>
      <c r="AH20" s="60"/>
      <c r="AI20" s="60"/>
      <c r="AJ20" s="59"/>
      <c r="AK20" s="60"/>
      <c r="AL20" s="60"/>
      <c r="AM20" s="61">
        <f t="shared" si="1"/>
        <v>0</v>
      </c>
    </row>
    <row r="21" spans="2:39" ht="20.100000000000001" customHeight="1" x14ac:dyDescent="0.15">
      <c r="B21" s="58"/>
      <c r="C21" s="59"/>
      <c r="D21" s="60"/>
      <c r="E21" s="60"/>
      <c r="F21" s="59"/>
      <c r="G21" s="60"/>
      <c r="H21" s="60"/>
      <c r="I21" s="59"/>
      <c r="J21" s="60"/>
      <c r="K21" s="60"/>
      <c r="L21" s="59"/>
      <c r="M21" s="60"/>
      <c r="N21" s="60"/>
      <c r="O21" s="59"/>
      <c r="P21" s="60"/>
      <c r="Q21" s="60"/>
      <c r="R21" s="59"/>
      <c r="S21" s="60"/>
      <c r="T21" s="60"/>
      <c r="U21" s="59"/>
      <c r="V21" s="60"/>
      <c r="W21" s="60"/>
      <c r="X21" s="59"/>
      <c r="Y21" s="60"/>
      <c r="Z21" s="60"/>
      <c r="AA21" s="59"/>
      <c r="AB21" s="60"/>
      <c r="AC21" s="60"/>
      <c r="AD21" s="59"/>
      <c r="AE21" s="60"/>
      <c r="AF21" s="60"/>
      <c r="AG21" s="59"/>
      <c r="AH21" s="60"/>
      <c r="AI21" s="60"/>
      <c r="AJ21" s="59"/>
      <c r="AK21" s="60"/>
      <c r="AL21" s="60"/>
      <c r="AM21" s="61">
        <f t="shared" si="1"/>
        <v>0</v>
      </c>
    </row>
    <row r="22" spans="2:39" ht="20.100000000000001" customHeight="1" x14ac:dyDescent="0.15">
      <c r="B22" s="58"/>
      <c r="C22" s="59"/>
      <c r="D22" s="60"/>
      <c r="E22" s="60"/>
      <c r="F22" s="59"/>
      <c r="G22" s="60"/>
      <c r="H22" s="60"/>
      <c r="I22" s="59"/>
      <c r="J22" s="60"/>
      <c r="K22" s="60"/>
      <c r="L22" s="59"/>
      <c r="M22" s="60"/>
      <c r="N22" s="60"/>
      <c r="O22" s="59"/>
      <c r="P22" s="60"/>
      <c r="Q22" s="60"/>
      <c r="R22" s="59"/>
      <c r="S22" s="60"/>
      <c r="T22" s="60"/>
      <c r="U22" s="59"/>
      <c r="V22" s="60"/>
      <c r="W22" s="60"/>
      <c r="X22" s="59"/>
      <c r="Y22" s="60"/>
      <c r="Z22" s="60"/>
      <c r="AA22" s="59"/>
      <c r="AB22" s="60"/>
      <c r="AC22" s="60"/>
      <c r="AD22" s="59"/>
      <c r="AE22" s="60"/>
      <c r="AF22" s="60"/>
      <c r="AG22" s="59"/>
      <c r="AH22" s="60"/>
      <c r="AI22" s="60"/>
      <c r="AJ22" s="59"/>
      <c r="AK22" s="60"/>
      <c r="AL22" s="60"/>
      <c r="AM22" s="61">
        <f t="shared" si="1"/>
        <v>0</v>
      </c>
    </row>
    <row r="23" spans="2:39" ht="20.100000000000001" customHeight="1" x14ac:dyDescent="0.15">
      <c r="B23" s="58"/>
      <c r="C23" s="59"/>
      <c r="D23" s="60"/>
      <c r="E23" s="60"/>
      <c r="F23" s="59"/>
      <c r="G23" s="60"/>
      <c r="H23" s="60"/>
      <c r="I23" s="59"/>
      <c r="J23" s="60"/>
      <c r="K23" s="60"/>
      <c r="L23" s="59"/>
      <c r="M23" s="60"/>
      <c r="N23" s="60"/>
      <c r="O23" s="59"/>
      <c r="P23" s="60"/>
      <c r="Q23" s="60"/>
      <c r="R23" s="59"/>
      <c r="S23" s="60"/>
      <c r="T23" s="60"/>
      <c r="U23" s="59"/>
      <c r="V23" s="60"/>
      <c r="W23" s="60"/>
      <c r="X23" s="59"/>
      <c r="Y23" s="60"/>
      <c r="Z23" s="60"/>
      <c r="AA23" s="59"/>
      <c r="AB23" s="60"/>
      <c r="AC23" s="60"/>
      <c r="AD23" s="59"/>
      <c r="AE23" s="60"/>
      <c r="AF23" s="60"/>
      <c r="AG23" s="59"/>
      <c r="AH23" s="60"/>
      <c r="AI23" s="60"/>
      <c r="AJ23" s="59"/>
      <c r="AK23" s="60"/>
      <c r="AL23" s="60"/>
      <c r="AM23" s="61">
        <f t="shared" si="1"/>
        <v>0</v>
      </c>
    </row>
    <row r="24" spans="2:39" ht="20.100000000000001" customHeight="1" x14ac:dyDescent="0.15">
      <c r="B24" s="58"/>
      <c r="C24" s="59"/>
      <c r="D24" s="60"/>
      <c r="E24" s="60"/>
      <c r="F24" s="59"/>
      <c r="G24" s="60"/>
      <c r="H24" s="60"/>
      <c r="I24" s="59"/>
      <c r="J24" s="60"/>
      <c r="K24" s="60"/>
      <c r="L24" s="59"/>
      <c r="M24" s="60"/>
      <c r="N24" s="60"/>
      <c r="O24" s="59"/>
      <c r="P24" s="60"/>
      <c r="Q24" s="60"/>
      <c r="R24" s="59"/>
      <c r="S24" s="60"/>
      <c r="T24" s="60"/>
      <c r="U24" s="59"/>
      <c r="V24" s="60"/>
      <c r="W24" s="60"/>
      <c r="X24" s="59"/>
      <c r="Y24" s="60"/>
      <c r="Z24" s="60"/>
      <c r="AA24" s="59"/>
      <c r="AB24" s="60"/>
      <c r="AC24" s="60"/>
      <c r="AD24" s="59"/>
      <c r="AE24" s="60"/>
      <c r="AF24" s="60"/>
      <c r="AG24" s="59"/>
      <c r="AH24" s="60"/>
      <c r="AI24" s="60"/>
      <c r="AJ24" s="59"/>
      <c r="AK24" s="60"/>
      <c r="AL24" s="60"/>
      <c r="AM24" s="61">
        <f t="shared" si="1"/>
        <v>0</v>
      </c>
    </row>
    <row r="25" spans="2:39" ht="20.100000000000001" customHeight="1" x14ac:dyDescent="0.15">
      <c r="B25" s="58"/>
      <c r="C25" s="59"/>
      <c r="D25" s="60"/>
      <c r="E25" s="60"/>
      <c r="F25" s="59"/>
      <c r="G25" s="60"/>
      <c r="H25" s="60"/>
      <c r="I25" s="59"/>
      <c r="J25" s="60"/>
      <c r="K25" s="60"/>
      <c r="L25" s="59"/>
      <c r="M25" s="60"/>
      <c r="N25" s="60"/>
      <c r="O25" s="59"/>
      <c r="P25" s="60"/>
      <c r="Q25" s="60"/>
      <c r="R25" s="59"/>
      <c r="S25" s="60"/>
      <c r="T25" s="60"/>
      <c r="U25" s="59"/>
      <c r="V25" s="60"/>
      <c r="W25" s="60"/>
      <c r="X25" s="59"/>
      <c r="Y25" s="60"/>
      <c r="Z25" s="60"/>
      <c r="AA25" s="59"/>
      <c r="AB25" s="60"/>
      <c r="AC25" s="60"/>
      <c r="AD25" s="59"/>
      <c r="AE25" s="60"/>
      <c r="AF25" s="60"/>
      <c r="AG25" s="59"/>
      <c r="AH25" s="60"/>
      <c r="AI25" s="60"/>
      <c r="AJ25" s="59"/>
      <c r="AK25" s="60"/>
      <c r="AL25" s="60"/>
      <c r="AM25" s="61">
        <f t="shared" si="1"/>
        <v>0</v>
      </c>
    </row>
    <row r="26" spans="2:39" ht="20.100000000000001" customHeight="1" x14ac:dyDescent="0.15">
      <c r="B26" s="58"/>
      <c r="C26" s="59"/>
      <c r="D26" s="60"/>
      <c r="E26" s="60"/>
      <c r="F26" s="59"/>
      <c r="G26" s="60"/>
      <c r="H26" s="60"/>
      <c r="I26" s="59"/>
      <c r="J26" s="60"/>
      <c r="K26" s="60"/>
      <c r="L26" s="59"/>
      <c r="M26" s="60"/>
      <c r="N26" s="60"/>
      <c r="O26" s="59"/>
      <c r="P26" s="60"/>
      <c r="Q26" s="60"/>
      <c r="R26" s="59"/>
      <c r="S26" s="60"/>
      <c r="T26" s="60"/>
      <c r="U26" s="59"/>
      <c r="V26" s="60"/>
      <c r="W26" s="60"/>
      <c r="X26" s="59"/>
      <c r="Y26" s="60"/>
      <c r="Z26" s="60"/>
      <c r="AA26" s="59"/>
      <c r="AB26" s="60"/>
      <c r="AC26" s="60"/>
      <c r="AD26" s="59"/>
      <c r="AE26" s="60"/>
      <c r="AF26" s="60"/>
      <c r="AG26" s="59"/>
      <c r="AH26" s="60"/>
      <c r="AI26" s="60"/>
      <c r="AJ26" s="59"/>
      <c r="AK26" s="60"/>
      <c r="AL26" s="60"/>
      <c r="AM26" s="61">
        <f t="shared" si="1"/>
        <v>0</v>
      </c>
    </row>
    <row r="27" spans="2:39" ht="20.100000000000001" customHeight="1" x14ac:dyDescent="0.15">
      <c r="B27" s="58"/>
      <c r="C27" s="59"/>
      <c r="D27" s="60"/>
      <c r="E27" s="60"/>
      <c r="F27" s="59"/>
      <c r="G27" s="60"/>
      <c r="H27" s="60"/>
      <c r="I27" s="59"/>
      <c r="J27" s="60"/>
      <c r="K27" s="60"/>
      <c r="L27" s="59"/>
      <c r="M27" s="60"/>
      <c r="N27" s="60"/>
      <c r="O27" s="59"/>
      <c r="P27" s="60"/>
      <c r="Q27" s="60"/>
      <c r="R27" s="59"/>
      <c r="S27" s="60"/>
      <c r="T27" s="60"/>
      <c r="U27" s="59"/>
      <c r="V27" s="60"/>
      <c r="W27" s="60"/>
      <c r="X27" s="59"/>
      <c r="Y27" s="60"/>
      <c r="Z27" s="60"/>
      <c r="AA27" s="59"/>
      <c r="AB27" s="60"/>
      <c r="AC27" s="60"/>
      <c r="AD27" s="59"/>
      <c r="AE27" s="60"/>
      <c r="AF27" s="60"/>
      <c r="AG27" s="59"/>
      <c r="AH27" s="60"/>
      <c r="AI27" s="60"/>
      <c r="AJ27" s="59"/>
      <c r="AK27" s="60"/>
      <c r="AL27" s="60"/>
      <c r="AM27" s="61">
        <f t="shared" si="1"/>
        <v>0</v>
      </c>
    </row>
    <row r="28" spans="2:39" ht="20.100000000000001" customHeight="1" x14ac:dyDescent="0.15">
      <c r="B28" s="58"/>
      <c r="C28" s="59"/>
      <c r="D28" s="60"/>
      <c r="E28" s="60"/>
      <c r="F28" s="59"/>
      <c r="G28" s="60"/>
      <c r="H28" s="60"/>
      <c r="I28" s="59"/>
      <c r="J28" s="60"/>
      <c r="K28" s="60"/>
      <c r="L28" s="59"/>
      <c r="M28" s="60"/>
      <c r="N28" s="60"/>
      <c r="O28" s="59"/>
      <c r="P28" s="60"/>
      <c r="Q28" s="60"/>
      <c r="R28" s="59"/>
      <c r="S28" s="60"/>
      <c r="T28" s="60"/>
      <c r="U28" s="59"/>
      <c r="V28" s="60"/>
      <c r="W28" s="60"/>
      <c r="X28" s="59"/>
      <c r="Y28" s="60"/>
      <c r="Z28" s="60"/>
      <c r="AA28" s="59"/>
      <c r="AB28" s="60"/>
      <c r="AC28" s="60"/>
      <c r="AD28" s="59"/>
      <c r="AE28" s="60"/>
      <c r="AF28" s="60"/>
      <c r="AG28" s="59"/>
      <c r="AH28" s="60"/>
      <c r="AI28" s="60"/>
      <c r="AJ28" s="59"/>
      <c r="AK28" s="60"/>
      <c r="AL28" s="60"/>
      <c r="AM28" s="61">
        <f t="shared" si="1"/>
        <v>0</v>
      </c>
    </row>
    <row r="29" spans="2:39" ht="20.100000000000001" customHeight="1" x14ac:dyDescent="0.15">
      <c r="B29" s="58"/>
      <c r="C29" s="59"/>
      <c r="D29" s="60"/>
      <c r="E29" s="60"/>
      <c r="F29" s="59"/>
      <c r="G29" s="60"/>
      <c r="H29" s="60"/>
      <c r="I29" s="59"/>
      <c r="J29" s="60"/>
      <c r="K29" s="60"/>
      <c r="L29" s="59"/>
      <c r="M29" s="60"/>
      <c r="N29" s="60"/>
      <c r="O29" s="59"/>
      <c r="P29" s="60"/>
      <c r="Q29" s="60"/>
      <c r="R29" s="59"/>
      <c r="S29" s="60"/>
      <c r="T29" s="60"/>
      <c r="U29" s="59"/>
      <c r="V29" s="60"/>
      <c r="W29" s="60"/>
      <c r="X29" s="59"/>
      <c r="Y29" s="60"/>
      <c r="Z29" s="60"/>
      <c r="AA29" s="59"/>
      <c r="AB29" s="60"/>
      <c r="AC29" s="60"/>
      <c r="AD29" s="59"/>
      <c r="AE29" s="60"/>
      <c r="AF29" s="60"/>
      <c r="AG29" s="59"/>
      <c r="AH29" s="60"/>
      <c r="AI29" s="60"/>
      <c r="AJ29" s="59"/>
      <c r="AK29" s="60"/>
      <c r="AL29" s="60"/>
      <c r="AM29" s="61">
        <f t="shared" si="1"/>
        <v>0</v>
      </c>
    </row>
    <row r="30" spans="2:39" ht="20.100000000000001" customHeight="1" x14ac:dyDescent="0.15">
      <c r="B30" s="58"/>
      <c r="C30" s="59"/>
      <c r="D30" s="60"/>
      <c r="E30" s="60"/>
      <c r="F30" s="59"/>
      <c r="G30" s="60"/>
      <c r="H30" s="60"/>
      <c r="I30" s="59"/>
      <c r="J30" s="60"/>
      <c r="K30" s="60"/>
      <c r="L30" s="59"/>
      <c r="M30" s="60"/>
      <c r="N30" s="60"/>
      <c r="O30" s="59"/>
      <c r="P30" s="60"/>
      <c r="Q30" s="60"/>
      <c r="R30" s="59"/>
      <c r="S30" s="60"/>
      <c r="T30" s="60"/>
      <c r="U30" s="59"/>
      <c r="V30" s="60"/>
      <c r="W30" s="60"/>
      <c r="X30" s="59"/>
      <c r="Y30" s="60"/>
      <c r="Z30" s="60"/>
      <c r="AA30" s="59"/>
      <c r="AB30" s="60"/>
      <c r="AC30" s="60"/>
      <c r="AD30" s="59"/>
      <c r="AE30" s="60"/>
      <c r="AF30" s="60"/>
      <c r="AG30" s="59"/>
      <c r="AH30" s="60"/>
      <c r="AI30" s="60"/>
      <c r="AJ30" s="59"/>
      <c r="AK30" s="60"/>
      <c r="AL30" s="60"/>
      <c r="AM30" s="61">
        <f t="shared" si="1"/>
        <v>0</v>
      </c>
    </row>
    <row r="31" spans="2:39" ht="20.100000000000001" customHeight="1" x14ac:dyDescent="0.15">
      <c r="B31" s="58"/>
      <c r="C31" s="59"/>
      <c r="D31" s="60"/>
      <c r="E31" s="60"/>
      <c r="F31" s="59"/>
      <c r="G31" s="60"/>
      <c r="H31" s="60"/>
      <c r="I31" s="59"/>
      <c r="J31" s="60"/>
      <c r="K31" s="60"/>
      <c r="L31" s="59"/>
      <c r="M31" s="60"/>
      <c r="N31" s="60"/>
      <c r="O31" s="59"/>
      <c r="P31" s="60"/>
      <c r="Q31" s="60"/>
      <c r="R31" s="59"/>
      <c r="S31" s="60"/>
      <c r="T31" s="60"/>
      <c r="U31" s="59"/>
      <c r="V31" s="60"/>
      <c r="W31" s="60"/>
      <c r="X31" s="59"/>
      <c r="Y31" s="60"/>
      <c r="Z31" s="60"/>
      <c r="AA31" s="59"/>
      <c r="AB31" s="60"/>
      <c r="AC31" s="60"/>
      <c r="AD31" s="59"/>
      <c r="AE31" s="60"/>
      <c r="AF31" s="60"/>
      <c r="AG31" s="59"/>
      <c r="AH31" s="60"/>
      <c r="AI31" s="60"/>
      <c r="AJ31" s="59"/>
      <c r="AK31" s="60"/>
      <c r="AL31" s="60"/>
      <c r="AM31" s="61">
        <f t="shared" si="1"/>
        <v>0</v>
      </c>
    </row>
    <row r="32" spans="2:39" ht="20.100000000000001" customHeight="1" x14ac:dyDescent="0.15">
      <c r="B32" s="58"/>
      <c r="C32" s="59"/>
      <c r="D32" s="60"/>
      <c r="E32" s="60"/>
      <c r="F32" s="59"/>
      <c r="G32" s="60"/>
      <c r="H32" s="60"/>
      <c r="I32" s="59"/>
      <c r="J32" s="60"/>
      <c r="K32" s="60"/>
      <c r="L32" s="59"/>
      <c r="M32" s="60"/>
      <c r="N32" s="60"/>
      <c r="O32" s="59"/>
      <c r="P32" s="60"/>
      <c r="Q32" s="60"/>
      <c r="R32" s="59"/>
      <c r="S32" s="60"/>
      <c r="T32" s="60"/>
      <c r="U32" s="59"/>
      <c r="V32" s="60"/>
      <c r="W32" s="60"/>
      <c r="X32" s="59"/>
      <c r="Y32" s="60"/>
      <c r="Z32" s="60"/>
      <c r="AA32" s="59"/>
      <c r="AB32" s="60"/>
      <c r="AC32" s="60"/>
      <c r="AD32" s="59"/>
      <c r="AE32" s="60"/>
      <c r="AF32" s="60"/>
      <c r="AG32" s="59"/>
      <c r="AH32" s="60"/>
      <c r="AI32" s="60"/>
      <c r="AJ32" s="59"/>
      <c r="AK32" s="60"/>
      <c r="AL32" s="60"/>
      <c r="AM32" s="61">
        <f t="shared" si="1"/>
        <v>0</v>
      </c>
    </row>
    <row r="33" spans="2:39" ht="20.100000000000001" customHeight="1" x14ac:dyDescent="0.15">
      <c r="B33" s="62" t="s">
        <v>134</v>
      </c>
      <c r="C33" s="59">
        <f>SUM(C19:C32)</f>
        <v>0</v>
      </c>
      <c r="D33" s="63">
        <f t="shared" ref="D33:AL33" si="2">SUM(D8:D32)</f>
        <v>0</v>
      </c>
      <c r="E33" s="64">
        <f t="shared" si="2"/>
        <v>0</v>
      </c>
      <c r="F33" s="59">
        <f t="shared" si="2"/>
        <v>0</v>
      </c>
      <c r="G33" s="63">
        <f t="shared" si="2"/>
        <v>0</v>
      </c>
      <c r="H33" s="64">
        <f t="shared" si="2"/>
        <v>0</v>
      </c>
      <c r="I33" s="59">
        <f t="shared" si="2"/>
        <v>50</v>
      </c>
      <c r="J33" s="63">
        <f t="shared" si="2"/>
        <v>70</v>
      </c>
      <c r="K33" s="64">
        <f t="shared" si="2"/>
        <v>100</v>
      </c>
      <c r="L33" s="59">
        <f t="shared" si="2"/>
        <v>100</v>
      </c>
      <c r="M33" s="63">
        <f t="shared" si="2"/>
        <v>56</v>
      </c>
      <c r="N33" s="64">
        <f t="shared" si="2"/>
        <v>135</v>
      </c>
      <c r="O33" s="59">
        <f t="shared" si="2"/>
        <v>260</v>
      </c>
      <c r="P33" s="63">
        <f t="shared" si="2"/>
        <v>265</v>
      </c>
      <c r="Q33" s="64">
        <f t="shared" si="2"/>
        <v>265</v>
      </c>
      <c r="R33" s="59">
        <f t="shared" si="2"/>
        <v>135</v>
      </c>
      <c r="S33" s="63">
        <f t="shared" si="2"/>
        <v>123</v>
      </c>
      <c r="T33" s="64">
        <f t="shared" si="2"/>
        <v>130</v>
      </c>
      <c r="U33" s="59">
        <f t="shared" si="2"/>
        <v>267</v>
      </c>
      <c r="V33" s="63">
        <f t="shared" si="2"/>
        <v>260</v>
      </c>
      <c r="W33" s="64">
        <f t="shared" si="2"/>
        <v>314</v>
      </c>
      <c r="X33" s="59">
        <f t="shared" si="2"/>
        <v>312</v>
      </c>
      <c r="Y33" s="63">
        <f t="shared" si="2"/>
        <v>319</v>
      </c>
      <c r="Z33" s="64">
        <f t="shared" si="2"/>
        <v>270</v>
      </c>
      <c r="AA33" s="59">
        <f t="shared" si="2"/>
        <v>223</v>
      </c>
      <c r="AB33" s="63">
        <f t="shared" si="2"/>
        <v>230</v>
      </c>
      <c r="AC33" s="64">
        <f t="shared" si="2"/>
        <v>182</v>
      </c>
      <c r="AD33" s="59">
        <f t="shared" si="2"/>
        <v>93</v>
      </c>
      <c r="AE33" s="63">
        <f t="shared" si="2"/>
        <v>52</v>
      </c>
      <c r="AF33" s="64">
        <f t="shared" si="2"/>
        <v>17</v>
      </c>
      <c r="AG33" s="59">
        <f t="shared" si="2"/>
        <v>0</v>
      </c>
      <c r="AH33" s="63">
        <f t="shared" si="2"/>
        <v>0</v>
      </c>
      <c r="AI33" s="64">
        <f t="shared" si="2"/>
        <v>0</v>
      </c>
      <c r="AJ33" s="59">
        <f t="shared" si="2"/>
        <v>40</v>
      </c>
      <c r="AK33" s="63">
        <f t="shared" si="2"/>
        <v>45</v>
      </c>
      <c r="AL33" s="64">
        <f t="shared" si="2"/>
        <v>85</v>
      </c>
      <c r="AM33" s="61">
        <f t="shared" si="1"/>
        <v>4398</v>
      </c>
    </row>
    <row r="34" spans="2:39" ht="20.100000000000001" customHeight="1" thickBot="1" x14ac:dyDescent="0.2">
      <c r="B34" s="65" t="s">
        <v>135</v>
      </c>
      <c r="C34" s="66"/>
      <c r="D34" s="67">
        <f>SUM(C33:E33)</f>
        <v>0</v>
      </c>
      <c r="E34" s="67"/>
      <c r="F34" s="66"/>
      <c r="G34" s="67">
        <f>SUM(F33:H33)</f>
        <v>0</v>
      </c>
      <c r="H34" s="67"/>
      <c r="I34" s="66"/>
      <c r="J34" s="67">
        <f>SUM(I33:K33)</f>
        <v>220</v>
      </c>
      <c r="K34" s="67"/>
      <c r="L34" s="66"/>
      <c r="M34" s="67">
        <f>SUM(L33:N33)</f>
        <v>291</v>
      </c>
      <c r="N34" s="67"/>
      <c r="O34" s="66"/>
      <c r="P34" s="67">
        <f>SUM(O33:Q33)</f>
        <v>790</v>
      </c>
      <c r="Q34" s="67"/>
      <c r="R34" s="66"/>
      <c r="S34" s="67">
        <f>SUM(R33:T33)</f>
        <v>388</v>
      </c>
      <c r="T34" s="67"/>
      <c r="U34" s="66"/>
      <c r="V34" s="67">
        <f>SUM(U33:W33)</f>
        <v>841</v>
      </c>
      <c r="W34" s="67"/>
      <c r="X34" s="66"/>
      <c r="Y34" s="67">
        <f>SUM(X33:Z33)</f>
        <v>901</v>
      </c>
      <c r="Z34" s="67"/>
      <c r="AA34" s="66"/>
      <c r="AB34" s="67">
        <f>SUM(AA33:AC33)</f>
        <v>635</v>
      </c>
      <c r="AC34" s="67"/>
      <c r="AD34" s="66"/>
      <c r="AE34" s="67">
        <f>SUM(AD33:AF33)</f>
        <v>162</v>
      </c>
      <c r="AF34" s="67"/>
      <c r="AG34" s="66"/>
      <c r="AH34" s="67">
        <f>SUM(AG33:AI33)</f>
        <v>0</v>
      </c>
      <c r="AI34" s="67"/>
      <c r="AJ34" s="66"/>
      <c r="AK34" s="67">
        <f>SUM(AJ33:AL33)</f>
        <v>170</v>
      </c>
      <c r="AL34" s="67"/>
      <c r="AM34" s="68">
        <f>SUM(AM8:AM32)</f>
        <v>4398</v>
      </c>
    </row>
  </sheetData>
  <mergeCells count="13">
    <mergeCell ref="C3:E3"/>
    <mergeCell ref="F3:H3"/>
    <mergeCell ref="I3:K3"/>
    <mergeCell ref="L3:N3"/>
    <mergeCell ref="O3:Q3"/>
    <mergeCell ref="AG3:AI3"/>
    <mergeCell ref="AJ3:AL3"/>
    <mergeCell ref="AM3:AM4"/>
    <mergeCell ref="R3:T3"/>
    <mergeCell ref="U3:W3"/>
    <mergeCell ref="X3:Z3"/>
    <mergeCell ref="AA3:AC3"/>
    <mergeCell ref="AD3:AF3"/>
  </mergeCells>
  <phoneticPr fontId="4"/>
  <pageMargins left="0.78740157480314965" right="0.78740157480314965" top="0.78740157480314965" bottom="0.78740157480314965" header="0.39370078740157483" footer="0.39370078740157483"/>
  <pageSetup paperSize="9" scale="52"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１　対象経営の概要，２　前提条件</vt:lpstr>
      <vt:lpstr>３－１－１　水稲（食用）標準技術</vt:lpstr>
      <vt:lpstr>３－１－２　水稲（加工用）標準技術</vt:lpstr>
      <vt:lpstr>３－２　ハウスアスパラガス標準技術</vt:lpstr>
      <vt:lpstr>３－３　露地アスパラガス標準技術</vt:lpstr>
      <vt:lpstr>４　経営収支</vt:lpstr>
      <vt:lpstr>５－１　水稲作業時間</vt:lpstr>
      <vt:lpstr>５－２　ハウスアスパラガス作業時間</vt:lpstr>
      <vt:lpstr>５－３　露地アスパラガス作業時間</vt:lpstr>
      <vt:lpstr>６　固定資本装備と減価償却費</vt:lpstr>
      <vt:lpstr>７－１－１　水稲（食用倒伏しやすい品種）部門収支</vt:lpstr>
      <vt:lpstr>７－１－２　水稲（食用倒伏しにくい品種）部門収支</vt:lpstr>
      <vt:lpstr>７－１－３　水稲（加工用米）部門収支</vt:lpstr>
      <vt:lpstr>７－２　ハウスアスパラガス部門収支</vt:lpstr>
      <vt:lpstr>７－３　露地アスパラガス部門収支</vt:lpstr>
      <vt:lpstr>８－１－１　水稲（食用倒伏しやすい品種）算出基礎</vt:lpstr>
      <vt:lpstr>８－１－２　水稲（食用倒伏しにくい）算出基礎</vt:lpstr>
      <vt:lpstr>８－１－３　水稲（加工用米）算出基礎</vt:lpstr>
      <vt:lpstr>８－２　ハウスアスパラガス算出基礎</vt:lpstr>
      <vt:lpstr>８－３　露地アスパラガス算出基礎</vt:lpstr>
      <vt:lpstr>９　アスパラガス単価算出基礎</vt:lpstr>
      <vt:lpstr>'３－２　ハウスアスパラガス標準技術'!Print_Area</vt:lpstr>
      <vt:lpstr>'３－３　露地アスパラガス標準技術'!Print_Area</vt:lpstr>
      <vt:lpstr>'５－１　水稲作業時間'!Print_Area</vt:lpstr>
      <vt:lpstr>'５－２　ハウスアスパラガス作業時間'!Print_Area</vt:lpstr>
      <vt:lpstr>'５－３　露地アスパラガス作業時間'!Print_Area</vt:lpstr>
      <vt:lpstr>'６　固定資本装備と減価償却費'!Print_Area</vt:lpstr>
      <vt:lpstr>'７－１－１　水稲（食用倒伏しやすい品種）部門収支'!Print_Area</vt:lpstr>
      <vt:lpstr>'７－２　ハウスアスパラガス部門収支'!Print_Area</vt:lpstr>
      <vt:lpstr>'７－３　露地アスパラガス部門収支'!Print_Area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金谷新作</dc:creator>
  <cp:lastModifiedBy>広島県</cp:lastModifiedBy>
  <cp:lastPrinted>2015-02-17T10:07:58Z</cp:lastPrinted>
  <dcterms:created xsi:type="dcterms:W3CDTF">2005-02-26T02:20:11Z</dcterms:created>
  <dcterms:modified xsi:type="dcterms:W3CDTF">2015-03-25T06:23:10Z</dcterms:modified>
</cp:coreProperties>
</file>